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788C16B1-CFA5-4FE4-BA4D-7D6C5E09FF23}" xr6:coauthVersionLast="47" xr6:coauthVersionMax="47" xr10:uidLastSave="{00000000-0000-0000-0000-000000000000}"/>
  <bookViews>
    <workbookView xWindow="-120" yWindow="-120" windowWidth="29040" windowHeight="15840" tabRatio="759" activeTab="4" xr2:uid="{00000000-000D-0000-FFFF-FFFF00000000}"/>
  </bookViews>
  <sheets>
    <sheet name="MONOFOCALS" sheetId="2" r:id="rId1"/>
    <sheet name="MUNTATGE MONOFOCAL" sheetId="4" r:id="rId2"/>
    <sheet name="MULTIFOCALS" sheetId="3" r:id="rId3"/>
    <sheet name="MUNTATGE MULTIFOCAL" sheetId="5" r:id="rId4"/>
    <sheet name="CRITERIS" sheetId="8" r:id="rId5"/>
  </sheets>
  <calcPr calcId="181029"/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B4" i="4" l="1"/>
  <c r="O55" i="2" l="1"/>
  <c r="R55" i="4" l="1"/>
  <c r="R56" i="4" s="1"/>
  <c r="R57" i="4" s="1"/>
  <c r="P55" i="4"/>
  <c r="P56" i="4" s="1"/>
  <c r="P57" i="4" s="1"/>
  <c r="Q55" i="4"/>
  <c r="Q56" i="4" s="1"/>
  <c r="Q57" i="4" s="1"/>
  <c r="O55" i="4"/>
  <c r="O56" i="4" s="1"/>
  <c r="O57" i="4" s="1"/>
  <c r="H55" i="4"/>
  <c r="H56" i="4" s="1"/>
  <c r="H57" i="4" s="1"/>
  <c r="I55" i="4"/>
  <c r="I56" i="4" s="1"/>
  <c r="I57" i="4" s="1"/>
  <c r="G55" i="4"/>
  <c r="G56" i="4" s="1"/>
  <c r="G57" i="4" s="1"/>
  <c r="P55" i="5"/>
  <c r="P56" i="5" s="1"/>
  <c r="P57" i="5" s="1"/>
  <c r="Q55" i="5"/>
  <c r="Q56" i="5" s="1"/>
  <c r="Q57" i="5" s="1"/>
  <c r="O55" i="5"/>
  <c r="O56" i="5" s="1"/>
  <c r="O57" i="5" s="1"/>
  <c r="H55" i="5"/>
  <c r="H56" i="5" s="1"/>
  <c r="H57" i="5" s="1"/>
  <c r="I55" i="5"/>
  <c r="I56" i="5" s="1"/>
  <c r="I57" i="5" s="1"/>
  <c r="G55" i="5"/>
  <c r="G56" i="5" s="1"/>
  <c r="G57" i="5" s="1"/>
  <c r="R55" i="5"/>
  <c r="R56" i="5" s="1"/>
  <c r="R57" i="5" s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AL55" i="2"/>
  <c r="AL56" i="2" s="1"/>
  <c r="AL57" i="2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P55" i="3"/>
  <c r="P56" i="3" s="1"/>
  <c r="P57" i="3" s="1"/>
  <c r="B9" i="4"/>
  <c r="B5" i="4"/>
  <c r="B6" i="4"/>
  <c r="B7" i="4"/>
  <c r="B8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AJ55" i="3" l="1"/>
  <c r="AJ56" i="3" s="1"/>
  <c r="AJ57" i="3" s="1"/>
  <c r="AI55" i="3"/>
  <c r="AI56" i="3" s="1"/>
  <c r="AI57" i="3" s="1"/>
  <c r="AH55" i="3"/>
  <c r="AH56" i="3" s="1"/>
  <c r="AH57" i="3" s="1"/>
  <c r="AG55" i="3"/>
  <c r="AG56" i="3" s="1"/>
  <c r="AG57" i="3" s="1"/>
  <c r="AF55" i="3"/>
  <c r="AF56" i="3" s="1"/>
  <c r="AF57" i="3" s="1"/>
  <c r="AE55" i="3"/>
  <c r="AE56" i="3" s="1"/>
  <c r="AE57" i="3" s="1"/>
  <c r="AD55" i="3"/>
  <c r="AD56" i="3" s="1"/>
  <c r="AD57" i="3" s="1"/>
  <c r="AC55" i="3"/>
  <c r="AC56" i="3" s="1"/>
  <c r="AC57" i="3" s="1"/>
  <c r="AB55" i="3"/>
  <c r="AB56" i="3" s="1"/>
  <c r="AB57" i="3" s="1"/>
  <c r="AA55" i="3"/>
  <c r="AA56" i="3" s="1"/>
  <c r="AA57" i="3" s="1"/>
  <c r="Z55" i="3"/>
  <c r="Z56" i="3" s="1"/>
  <c r="Z57" i="3" s="1"/>
  <c r="Y55" i="3"/>
  <c r="Y56" i="3" s="1"/>
  <c r="Y57" i="3" s="1"/>
  <c r="X55" i="3"/>
  <c r="X56" i="3" s="1"/>
  <c r="X57" i="3" s="1"/>
  <c r="W55" i="3"/>
  <c r="W56" i="3" s="1"/>
  <c r="W57" i="3" s="1"/>
  <c r="V55" i="3"/>
  <c r="V56" i="3" s="1"/>
  <c r="V57" i="3" s="1"/>
  <c r="U55" i="3"/>
  <c r="U56" i="3" s="1"/>
  <c r="U57" i="3" s="1"/>
  <c r="T55" i="3"/>
  <c r="T56" i="3" s="1"/>
  <c r="T57" i="3" s="1"/>
  <c r="S55" i="3"/>
  <c r="S56" i="3" s="1"/>
  <c r="S57" i="3" s="1"/>
  <c r="R55" i="3"/>
  <c r="R56" i="3" s="1"/>
  <c r="R57" i="3" s="1"/>
  <c r="Q55" i="3"/>
  <c r="Q56" i="3" s="1"/>
  <c r="Q57" i="3" s="1"/>
  <c r="O55" i="3"/>
  <c r="O56" i="3" s="1"/>
  <c r="O57" i="3" s="1"/>
  <c r="N55" i="3"/>
  <c r="N56" i="3" s="1"/>
  <c r="N57" i="3" s="1"/>
  <c r="M55" i="3"/>
  <c r="M56" i="3" s="1"/>
  <c r="M57" i="3" s="1"/>
  <c r="L55" i="3"/>
  <c r="L56" i="3" s="1"/>
  <c r="L57" i="3" s="1"/>
  <c r="K55" i="3"/>
  <c r="K56" i="3" s="1"/>
  <c r="K57" i="3" s="1"/>
  <c r="J55" i="3"/>
  <c r="J56" i="3" s="1"/>
  <c r="J57" i="3" s="1"/>
  <c r="I55" i="3"/>
  <c r="I56" i="3" s="1"/>
  <c r="I57" i="3" s="1"/>
  <c r="H55" i="3"/>
  <c r="H56" i="3" s="1"/>
  <c r="H57" i="3" s="1"/>
  <c r="G55" i="3"/>
  <c r="G56" i="3" s="1"/>
  <c r="G57" i="3" s="1"/>
  <c r="F55" i="3"/>
  <c r="F56" i="3" s="1"/>
  <c r="F57" i="3" s="1"/>
  <c r="E55" i="3"/>
  <c r="E56" i="3" s="1"/>
  <c r="E57" i="3" s="1"/>
  <c r="D55" i="3"/>
  <c r="D56" i="3" s="1"/>
  <c r="D57" i="3" s="1"/>
  <c r="C55" i="3"/>
  <c r="C56" i="3" s="1"/>
  <c r="C57" i="3" s="1"/>
  <c r="B55" i="3"/>
  <c r="AE55" i="2"/>
  <c r="AE56" i="2" s="1"/>
  <c r="AE57" i="2" s="1"/>
  <c r="AF55" i="2"/>
  <c r="AF56" i="2" s="1"/>
  <c r="AF57" i="2" s="1"/>
  <c r="AG55" i="2"/>
  <c r="AG56" i="2" s="1"/>
  <c r="AG57" i="2" s="1"/>
  <c r="AH55" i="2"/>
  <c r="AH56" i="2" s="1"/>
  <c r="AH57" i="2" s="1"/>
  <c r="AI55" i="2"/>
  <c r="AI56" i="2" s="1"/>
  <c r="AI57" i="2" s="1"/>
  <c r="AJ55" i="2"/>
  <c r="AJ56" i="2" s="1"/>
  <c r="AJ57" i="2" s="1"/>
  <c r="AK55" i="2"/>
  <c r="AK56" i="2" s="1"/>
  <c r="AK57" i="2" s="1"/>
  <c r="AD55" i="2"/>
  <c r="AD56" i="2" s="1"/>
  <c r="AD57" i="2" s="1"/>
  <c r="B56" i="3" l="1"/>
  <c r="B57" i="3" s="1"/>
  <c r="Q55" i="2"/>
  <c r="Q56" i="2" s="1"/>
  <c r="Q57" i="2" s="1"/>
  <c r="R55" i="2"/>
  <c r="R56" i="2" s="1"/>
  <c r="R57" i="2" s="1"/>
  <c r="S55" i="2"/>
  <c r="S56" i="2" s="1"/>
  <c r="S57" i="2" s="1"/>
  <c r="T55" i="2"/>
  <c r="T56" i="2" s="1"/>
  <c r="T57" i="2" s="1"/>
  <c r="U55" i="2"/>
  <c r="U56" i="2" s="1"/>
  <c r="U57" i="2" s="1"/>
  <c r="V55" i="2"/>
  <c r="V56" i="2" s="1"/>
  <c r="V57" i="2" s="1"/>
  <c r="W55" i="2"/>
  <c r="W56" i="2" s="1"/>
  <c r="W57" i="2" s="1"/>
  <c r="X55" i="2"/>
  <c r="X56" i="2" s="1"/>
  <c r="X57" i="2" s="1"/>
  <c r="Y55" i="2"/>
  <c r="Y56" i="2" s="1"/>
  <c r="Y57" i="2" s="1"/>
  <c r="Z55" i="2"/>
  <c r="Z56" i="2" s="1"/>
  <c r="Z57" i="2" s="1"/>
  <c r="AA55" i="2"/>
  <c r="AA56" i="2" s="1"/>
  <c r="AA57" i="2" s="1"/>
  <c r="AB55" i="2"/>
  <c r="AB56" i="2" s="1"/>
  <c r="AB57" i="2" s="1"/>
  <c r="AC55" i="2"/>
  <c r="AC56" i="2" s="1"/>
  <c r="AC57" i="2" s="1"/>
  <c r="P55" i="2"/>
  <c r="P56" i="2" s="1"/>
  <c r="P57" i="2" s="1"/>
  <c r="O56" i="2"/>
  <c r="O57" i="2" s="1"/>
  <c r="M55" i="2"/>
  <c r="M56" i="2" s="1"/>
  <c r="M57" i="2" s="1"/>
  <c r="J55" i="2"/>
  <c r="J56" i="2" s="1"/>
  <c r="J57" i="2" s="1"/>
  <c r="K55" i="2"/>
  <c r="K56" i="2" s="1"/>
  <c r="K57" i="2" s="1"/>
  <c r="L55" i="2"/>
  <c r="L56" i="2" s="1"/>
  <c r="L57" i="2" s="1"/>
  <c r="I55" i="2"/>
  <c r="I56" i="2" s="1"/>
  <c r="I57" i="2" s="1"/>
  <c r="F55" i="2"/>
  <c r="F56" i="2" s="1"/>
  <c r="F57" i="2" s="1"/>
  <c r="G55" i="2"/>
  <c r="G56" i="2" s="1"/>
  <c r="G57" i="2" s="1"/>
  <c r="H55" i="2"/>
  <c r="H56" i="2" s="1"/>
  <c r="H57" i="2" s="1"/>
  <c r="E55" i="2"/>
  <c r="E56" i="2" s="1"/>
  <c r="E57" i="2" s="1"/>
  <c r="C55" i="2"/>
  <c r="C56" i="2" s="1"/>
  <c r="C57" i="2" s="1"/>
  <c r="D55" i="2"/>
  <c r="D56" i="2" s="1"/>
  <c r="D57" i="2" s="1"/>
  <c r="B55" i="2"/>
  <c r="B56" i="2" l="1"/>
  <c r="B57" i="2" s="1"/>
</calcChain>
</file>

<file path=xl/sharedStrings.xml><?xml version="1.0" encoding="utf-8"?>
<sst xmlns="http://schemas.openxmlformats.org/spreadsheetml/2006/main" count="242" uniqueCount="120">
  <si>
    <t>DADES PERSONALS</t>
  </si>
  <si>
    <t>&gt;100</t>
  </si>
  <si>
    <t>Home</t>
  </si>
  <si>
    <t>Dona</t>
  </si>
  <si>
    <t>Caucàsica</t>
  </si>
  <si>
    <t>Negra</t>
  </si>
  <si>
    <t>Sud americana</t>
  </si>
  <si>
    <t>Asiàtica</t>
  </si>
  <si>
    <t>Altres</t>
  </si>
  <si>
    <t>Magribí-Àrab</t>
  </si>
  <si>
    <t>UE</t>
  </si>
  <si>
    <t>UD</t>
  </si>
  <si>
    <t>PRESCRIPCIÓ</t>
  </si>
  <si>
    <t>DNP</t>
  </si>
  <si>
    <t>&lt;-20,00</t>
  </si>
  <si>
    <t>&gt;40,00</t>
  </si>
  <si>
    <t>&lt;-6,00</t>
  </si>
  <si>
    <t>&lt;20,00</t>
  </si>
  <si>
    <t>Cas</t>
  </si>
  <si>
    <t>Edat</t>
  </si>
  <si>
    <t>Sexe</t>
  </si>
  <si>
    <t>Ètnia</t>
  </si>
  <si>
    <t>Eix</t>
  </si>
  <si>
    <t>Cilindre</t>
  </si>
  <si>
    <t>Esfera</t>
  </si>
  <si>
    <t>Distància</t>
  </si>
  <si>
    <t>Avbino</t>
  </si>
  <si>
    <t>VLL</t>
  </si>
  <si>
    <t>VP</t>
  </si>
  <si>
    <t>&lt;0,10</t>
  </si>
  <si>
    <t>LENTS</t>
  </si>
  <si>
    <t>Fabricant</t>
  </si>
  <si>
    <t>Material</t>
  </si>
  <si>
    <t>Índex</t>
  </si>
  <si>
    <t>Superfície</t>
  </si>
  <si>
    <t>Base</t>
  </si>
  <si>
    <t>AR</t>
  </si>
  <si>
    <t>Endurit</t>
  </si>
  <si>
    <t>Hidròfob</t>
  </si>
  <si>
    <t>Æ</t>
  </si>
  <si>
    <t>D</t>
  </si>
  <si>
    <t>Color</t>
  </si>
  <si>
    <t>Filtre Blau</t>
  </si>
  <si>
    <t>Resta</t>
  </si>
  <si>
    <t>SÍ</t>
  </si>
  <si>
    <t>NO</t>
  </si>
  <si>
    <t>Policarbonat</t>
  </si>
  <si>
    <t>Mineral</t>
  </si>
  <si>
    <t>Orgànic</t>
  </si>
  <si>
    <t>Esfèrica</t>
  </si>
  <si>
    <t>Asfèrica</t>
  </si>
  <si>
    <t>Freeform</t>
  </si>
  <si>
    <t>&gt;80</t>
  </si>
  <si>
    <t>Essilor</t>
  </si>
  <si>
    <t>Hispano</t>
  </si>
  <si>
    <t>Hoya</t>
  </si>
  <si>
    <t>Indo</t>
  </si>
  <si>
    <t>Naturlens</t>
  </si>
  <si>
    <t>Nikon</t>
  </si>
  <si>
    <t>Prats</t>
  </si>
  <si>
    <t>Zeiss</t>
  </si>
  <si>
    <t>Bbgr</t>
  </si>
  <si>
    <t>Buides</t>
  </si>
  <si>
    <t>Omplert</t>
  </si>
  <si>
    <t xml:space="preserve">% </t>
  </si>
  <si>
    <t>&gt;10</t>
  </si>
  <si>
    <t>MUNTURA</t>
  </si>
  <si>
    <t>L boxing</t>
  </si>
  <si>
    <t>p boxing</t>
  </si>
  <si>
    <t>L barnilla</t>
  </si>
  <si>
    <r>
      <rPr>
        <sz val="10"/>
        <color theme="1"/>
        <rFont val="Symbol"/>
        <family val="1"/>
        <charset val="2"/>
      </rPr>
      <t xml:space="preserve">q </t>
    </r>
    <r>
      <rPr>
        <sz val="10"/>
        <color theme="1"/>
        <rFont val="Arial"/>
        <family val="2"/>
      </rPr>
      <t>pantoscòpic</t>
    </r>
  </si>
  <si>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Arial"/>
        <family val="2"/>
      </rPr>
      <t xml:space="preserve"> facial</t>
    </r>
  </si>
  <si>
    <t>h cèrcol</t>
  </si>
  <si>
    <t>h pupilar</t>
  </si>
  <si>
    <t>Plàstic</t>
  </si>
  <si>
    <t>Metall</t>
  </si>
  <si>
    <t>Ranura</t>
  </si>
  <si>
    <t>Trepat</t>
  </si>
  <si>
    <t>&lt;40</t>
  </si>
  <si>
    <t>&gt;65</t>
  </si>
  <si>
    <t>&lt;10</t>
  </si>
  <si>
    <t>&gt;25</t>
  </si>
  <si>
    <t>&lt;120</t>
  </si>
  <si>
    <t>&gt;160</t>
  </si>
  <si>
    <t>&lt;20</t>
  </si>
  <si>
    <t>&gt;50</t>
  </si>
  <si>
    <t>&gt;40</t>
  </si>
  <si>
    <t>&lt;5</t>
  </si>
  <si>
    <t>&gt;15</t>
  </si>
  <si>
    <t>&gt;30</t>
  </si>
  <si>
    <r>
      <rPr>
        <sz val="10"/>
        <color theme="1"/>
        <rFont val="Symbol"/>
        <family val="1"/>
        <charset val="2"/>
      </rPr>
      <t>q</t>
    </r>
    <r>
      <rPr>
        <sz val="10"/>
        <color theme="1"/>
        <rFont val="Arial"/>
        <family val="2"/>
      </rPr>
      <t xml:space="preserve"> pantoscòpic</t>
    </r>
  </si>
  <si>
    <t xml:space="preserve"> n</t>
  </si>
  <si>
    <t>Precal.</t>
  </si>
  <si>
    <t>Adició</t>
  </si>
  <si>
    <t>&gt;3,00</t>
  </si>
  <si>
    <t>&lt;0,75</t>
  </si>
  <si>
    <t>Tipus</t>
  </si>
  <si>
    <t>Progressiu</t>
  </si>
  <si>
    <t>Bifocal</t>
  </si>
  <si>
    <t>Ocupacional</t>
  </si>
  <si>
    <t>hsegment</t>
  </si>
  <si>
    <t>MUNTATGE</t>
  </si>
  <si>
    <t>DNC</t>
  </si>
  <si>
    <t>hc</t>
  </si>
  <si>
    <t>hp</t>
  </si>
  <si>
    <t>hp UD</t>
  </si>
  <si>
    <t>hp UE</t>
  </si>
  <si>
    <t>INADAPTACIÓ</t>
  </si>
  <si>
    <t>OBSERVACIONS</t>
  </si>
  <si>
    <t>Sí / NO</t>
  </si>
  <si>
    <t>%</t>
  </si>
  <si>
    <t>&gt;+20,00</t>
  </si>
  <si>
    <t>Obligatori si VP</t>
  </si>
  <si>
    <t>AV bino</t>
  </si>
  <si>
    <t>Convencional</t>
  </si>
  <si>
    <t>PRESCRIPCIÓ (VLL)</t>
  </si>
  <si>
    <t xml:space="preserve">Distància </t>
  </si>
  <si>
    <t>Fotocròmic</t>
  </si>
  <si>
    <r>
      <rPr>
        <sz val="10"/>
        <color theme="1"/>
        <rFont val="Mistral"/>
        <family val="4"/>
      </rPr>
      <t xml:space="preserve">l </t>
    </r>
    <r>
      <rPr>
        <sz val="10"/>
        <color theme="1"/>
        <rFont val="Arial"/>
        <family val="2"/>
      </rPr>
      <t>barnilla</t>
    </r>
  </si>
  <si>
    <t>Motius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</si>
</sst>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\+#.#0"/>
    <numFmt numFmtId="166" formatCode="\+#.#00"/>
    <numFmt numFmtId="167" formatCode="\+0.#0"/>
    <numFmt numFmtId="168" formatCode="#,##0.00_ ;\-#,##0.00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5" tint="-0.249977111117893"/>
      <name val="Arial"/>
      <family val="2"/>
    </font>
    <font>
      <b/>
      <sz val="12"/>
      <color theme="6" tint="-0.249977111117893"/>
      <name val="Arial"/>
      <family val="2"/>
    </font>
    <font>
      <b/>
      <sz val="12"/>
      <color theme="3"/>
      <name val="Arial"/>
      <family val="2"/>
    </font>
    <font>
      <b/>
      <sz val="12"/>
      <color theme="9" tint="-0.249977111117893"/>
      <name val="Arial"/>
      <family val="2"/>
    </font>
    <font>
      <sz val="10"/>
      <color theme="1"/>
      <name val="Mistral"/>
      <family val="4"/>
    </font>
    <font>
      <sz val="10"/>
      <color theme="1"/>
      <name val="Arial"/>
      <family val="4"/>
    </font>
    <font>
      <b/>
      <sz val="12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/>
    <xf numFmtId="0" fontId="1" fillId="0" borderId="15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2" fontId="1" fillId="0" borderId="15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 applyAlignment="1">
      <alignment horizontal="left"/>
    </xf>
    <xf numFmtId="2" fontId="1" fillId="0" borderId="14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15" xfId="0" applyFont="1" applyBorder="1"/>
    <xf numFmtId="0" fontId="1" fillId="0" borderId="5" xfId="0" applyFont="1" applyBorder="1"/>
    <xf numFmtId="0" fontId="1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8" xfId="0" applyFont="1" applyFill="1" applyBorder="1"/>
    <xf numFmtId="0" fontId="3" fillId="2" borderId="10" xfId="0" applyFont="1" applyFill="1" applyBorder="1"/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5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2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2" borderId="12" xfId="0" applyFill="1" applyBorder="1"/>
    <xf numFmtId="0" fontId="0" fillId="2" borderId="14" xfId="0" applyFill="1" applyBorder="1"/>
    <xf numFmtId="0" fontId="7" fillId="3" borderId="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6" borderId="36" xfId="0" applyFill="1" applyBorder="1"/>
    <xf numFmtId="0" fontId="0" fillId="6" borderId="19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9" xfId="0" applyFill="1" applyBorder="1"/>
    <xf numFmtId="0" fontId="0" fillId="6" borderId="26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10" fontId="0" fillId="0" borderId="34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0" fillId="0" borderId="12" xfId="0" applyBorder="1"/>
    <xf numFmtId="0" fontId="0" fillId="6" borderId="20" xfId="0" applyFill="1" applyBorder="1"/>
    <xf numFmtId="0" fontId="0" fillId="6" borderId="20" xfId="0" applyFill="1" applyBorder="1" applyAlignment="1">
      <alignment horizontal="center"/>
    </xf>
    <xf numFmtId="0" fontId="0" fillId="6" borderId="25" xfId="0" applyFill="1" applyBorder="1"/>
    <xf numFmtId="0" fontId="0" fillId="6" borderId="25" xfId="0" applyFill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6" fontId="1" fillId="0" borderId="13" xfId="0" applyNumberFormat="1" applyFont="1" applyBorder="1" applyAlignment="1">
      <alignment horizontal="center"/>
    </xf>
    <xf numFmtId="167" fontId="1" fillId="0" borderId="13" xfId="0" applyNumberFormat="1" applyFont="1" applyBorder="1" applyAlignment="1">
      <alignment horizontal="center"/>
    </xf>
    <xf numFmtId="168" fontId="1" fillId="0" borderId="3" xfId="0" applyNumberFormat="1" applyFont="1" applyBorder="1" applyAlignment="1" applyProtection="1">
      <alignment horizontal="center" vertical="center"/>
      <protection locked="0"/>
    </xf>
    <xf numFmtId="168" fontId="1" fillId="0" borderId="0" xfId="0" applyNumberFormat="1" applyFont="1" applyAlignment="1" applyProtection="1">
      <alignment horizontal="center" vertical="center"/>
      <protection locked="0"/>
    </xf>
    <xf numFmtId="168" fontId="1" fillId="0" borderId="6" xfId="0" applyNumberFormat="1" applyFont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hidden="1"/>
    </xf>
    <xf numFmtId="0" fontId="0" fillId="6" borderId="17" xfId="0" applyFill="1" applyBorder="1" applyAlignment="1" applyProtection="1">
      <alignment horizontal="center" vertical="center"/>
      <protection hidden="1"/>
    </xf>
    <xf numFmtId="0" fontId="0" fillId="6" borderId="18" xfId="0" applyFill="1" applyBorder="1" applyAlignment="1" applyProtection="1">
      <alignment horizontal="center" vertical="center"/>
      <protection hidden="1"/>
    </xf>
    <xf numFmtId="0" fontId="0" fillId="6" borderId="16" xfId="0" applyFill="1" applyBorder="1" applyAlignment="1" applyProtection="1">
      <alignment horizontal="center" vertical="center"/>
      <protection hidden="1"/>
    </xf>
    <xf numFmtId="0" fontId="0" fillId="6" borderId="21" xfId="0" applyFill="1" applyBorder="1" applyAlignment="1" applyProtection="1">
      <alignment horizontal="center" vertical="center"/>
      <protection hidden="1"/>
    </xf>
    <xf numFmtId="0" fontId="0" fillId="6" borderId="16" xfId="0" applyFill="1" applyBorder="1" applyAlignment="1" applyProtection="1">
      <alignment horizontal="center"/>
      <protection hidden="1"/>
    </xf>
    <xf numFmtId="0" fontId="0" fillId="6" borderId="17" xfId="0" applyFill="1" applyBorder="1" applyAlignment="1" applyProtection="1">
      <alignment horizontal="center"/>
      <protection hidden="1"/>
    </xf>
    <xf numFmtId="0" fontId="0" fillId="6" borderId="21" xfId="0" applyFill="1" applyBorder="1" applyAlignment="1" applyProtection="1">
      <alignment horizontal="center"/>
      <protection hidden="1"/>
    </xf>
    <xf numFmtId="0" fontId="0" fillId="6" borderId="18" xfId="0" applyFill="1" applyBorder="1" applyAlignment="1" applyProtection="1">
      <alignment horizont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7" xfId="0" applyFill="1" applyBorder="1" applyAlignment="1" applyProtection="1">
      <alignment horizontal="center" vertical="center"/>
      <protection hidden="1"/>
    </xf>
    <xf numFmtId="0" fontId="0" fillId="6" borderId="28" xfId="0" applyFill="1" applyBorder="1" applyAlignment="1" applyProtection="1">
      <alignment horizontal="center" vertical="center"/>
      <protection hidden="1"/>
    </xf>
    <xf numFmtId="0" fontId="0" fillId="6" borderId="29" xfId="0" applyFill="1" applyBorder="1" applyAlignment="1" applyProtection="1">
      <alignment horizontal="center" vertical="center"/>
      <protection hidden="1"/>
    </xf>
    <xf numFmtId="0" fontId="0" fillId="6" borderId="30" xfId="0" applyFill="1" applyBorder="1" applyAlignment="1" applyProtection="1">
      <alignment horizontal="center" vertical="center"/>
      <protection hidden="1"/>
    </xf>
    <xf numFmtId="0" fontId="0" fillId="6" borderId="29" xfId="0" applyFill="1" applyBorder="1" applyAlignment="1" applyProtection="1">
      <alignment horizontal="center"/>
      <protection hidden="1"/>
    </xf>
    <xf numFmtId="0" fontId="0" fillId="6" borderId="27" xfId="0" applyFill="1" applyBorder="1" applyAlignment="1" applyProtection="1">
      <alignment horizontal="center"/>
      <protection hidden="1"/>
    </xf>
    <xf numFmtId="0" fontId="0" fillId="6" borderId="30" xfId="0" applyFill="1" applyBorder="1" applyAlignment="1" applyProtection="1">
      <alignment horizontal="center"/>
      <protection hidden="1"/>
    </xf>
    <xf numFmtId="0" fontId="0" fillId="6" borderId="28" xfId="0" applyFill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6" fontId="1" fillId="0" borderId="0" xfId="0" applyNumberFormat="1" applyFont="1"/>
    <xf numFmtId="0" fontId="0" fillId="0" borderId="14" xfId="0" applyBorder="1" applyAlignment="1">
      <alignment horizontal="lef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/>
    <xf numFmtId="0" fontId="2" fillId="2" borderId="10" xfId="0" applyFont="1" applyFill="1" applyBorder="1"/>
    <xf numFmtId="0" fontId="2" fillId="7" borderId="1" xfId="0" applyFont="1" applyFill="1" applyBorder="1" applyAlignment="1">
      <alignment horizontal="center"/>
    </xf>
    <xf numFmtId="0" fontId="0" fillId="6" borderId="36" xfId="0" applyFill="1" applyBorder="1" applyAlignment="1" applyProtection="1">
      <alignment horizontal="center" vertical="center"/>
      <protection hidden="1"/>
    </xf>
    <xf numFmtId="0" fontId="0" fillId="6" borderId="39" xfId="0" applyFill="1" applyBorder="1" applyAlignment="1" applyProtection="1">
      <alignment horizontal="center" vertical="center"/>
      <protection hidden="1"/>
    </xf>
    <xf numFmtId="0" fontId="0" fillId="6" borderId="37" xfId="0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horizontal="center" vertical="center"/>
      <protection hidden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/>
      <protection hidden="1"/>
    </xf>
    <xf numFmtId="10" fontId="0" fillId="2" borderId="32" xfId="0" applyNumberFormat="1" applyFill="1" applyBorder="1" applyAlignment="1" applyProtection="1">
      <alignment horizontal="center" vertical="center"/>
      <protection hidden="1"/>
    </xf>
    <xf numFmtId="10" fontId="0" fillId="2" borderId="33" xfId="0" applyNumberFormat="1" applyFill="1" applyBorder="1" applyAlignment="1" applyProtection="1">
      <alignment horizontal="center" vertical="center"/>
      <protection hidden="1"/>
    </xf>
    <xf numFmtId="10" fontId="0" fillId="2" borderId="34" xfId="0" applyNumberFormat="1" applyFill="1" applyBorder="1" applyAlignment="1" applyProtection="1">
      <alignment horizontal="center" vertical="center"/>
      <protection hidden="1"/>
    </xf>
    <xf numFmtId="10" fontId="0" fillId="2" borderId="8" xfId="0" applyNumberFormat="1" applyFill="1" applyBorder="1" applyAlignment="1" applyProtection="1">
      <alignment horizontal="center" vertical="center"/>
      <protection hidden="1"/>
    </xf>
    <xf numFmtId="10" fontId="0" fillId="2" borderId="10" xfId="0" applyNumberFormat="1" applyFill="1" applyBorder="1" applyAlignment="1" applyProtection="1">
      <alignment horizontal="center" vertical="center"/>
      <protection hidden="1"/>
    </xf>
    <xf numFmtId="10" fontId="0" fillId="2" borderId="35" xfId="0" applyNumberFormat="1" applyFill="1" applyBorder="1" applyAlignment="1" applyProtection="1">
      <alignment horizontal="center" vertical="center"/>
      <protection hidden="1"/>
    </xf>
    <xf numFmtId="10" fontId="0" fillId="2" borderId="34" xfId="0" applyNumberFormat="1" applyFill="1" applyBorder="1" applyAlignment="1" applyProtection="1">
      <alignment horizontal="center"/>
      <protection hidden="1"/>
    </xf>
    <xf numFmtId="10" fontId="0" fillId="2" borderId="32" xfId="0" applyNumberFormat="1" applyFill="1" applyBorder="1" applyAlignment="1" applyProtection="1">
      <alignment horizontal="center"/>
      <protection hidden="1"/>
    </xf>
    <xf numFmtId="10" fontId="0" fillId="2" borderId="35" xfId="0" applyNumberFormat="1" applyFill="1" applyBorder="1" applyAlignment="1" applyProtection="1">
      <alignment horizontal="center"/>
      <protection hidden="1"/>
    </xf>
    <xf numFmtId="10" fontId="0" fillId="2" borderId="33" xfId="0" applyNumberFormat="1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10" fontId="0" fillId="2" borderId="31" xfId="0" applyNumberFormat="1" applyFill="1" applyBorder="1" applyAlignment="1">
      <alignment horizontal="center" vertical="center"/>
    </xf>
    <xf numFmtId="10" fontId="0" fillId="2" borderId="32" xfId="0" applyNumberFormat="1" applyFill="1" applyBorder="1" applyAlignment="1">
      <alignment horizontal="center" vertical="center"/>
    </xf>
    <xf numFmtId="10" fontId="0" fillId="2" borderId="33" xfId="0" applyNumberFormat="1" applyFill="1" applyBorder="1" applyAlignment="1">
      <alignment horizontal="center" vertical="center"/>
    </xf>
    <xf numFmtId="10" fontId="0" fillId="2" borderId="34" xfId="0" applyNumberFormat="1" applyFill="1" applyBorder="1" applyAlignment="1">
      <alignment horizontal="center" vertical="center"/>
    </xf>
    <xf numFmtId="10" fontId="0" fillId="2" borderId="35" xfId="0" applyNumberFormat="1" applyFill="1" applyBorder="1" applyAlignment="1">
      <alignment horizontal="center" vertical="center"/>
    </xf>
    <xf numFmtId="10" fontId="0" fillId="2" borderId="34" xfId="0" applyNumberFormat="1" applyFill="1" applyBorder="1" applyAlignment="1">
      <alignment horizontal="center"/>
    </xf>
    <xf numFmtId="10" fontId="0" fillId="2" borderId="32" xfId="0" applyNumberFormat="1" applyFill="1" applyBorder="1" applyAlignment="1">
      <alignment horizontal="center"/>
    </xf>
    <xf numFmtId="10" fontId="0" fillId="2" borderId="33" xfId="0" applyNumberForma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/>
    <xf numFmtId="0" fontId="1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6" borderId="17" xfId="0" applyFill="1" applyBorder="1" applyAlignment="1" applyProtection="1">
      <alignment vertical="center"/>
      <protection hidden="1"/>
    </xf>
    <xf numFmtId="0" fontId="0" fillId="6" borderId="27" xfId="0" applyFill="1" applyBorder="1" applyAlignment="1" applyProtection="1">
      <alignment vertical="center"/>
      <protection hidden="1"/>
    </xf>
    <xf numFmtId="10" fontId="0" fillId="2" borderId="32" xfId="0" applyNumberForma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0" xfId="0" applyAlignment="1"/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left" vertical="center"/>
    </xf>
    <xf numFmtId="0" fontId="0" fillId="6" borderId="19" xfId="0" applyFill="1" applyBorder="1" applyAlignment="1" applyProtection="1">
      <alignment horizontal="left" vertical="center"/>
      <protection hidden="1"/>
    </xf>
    <xf numFmtId="0" fontId="0" fillId="6" borderId="26" xfId="0" applyFill="1" applyBorder="1" applyAlignment="1" applyProtection="1">
      <alignment horizontal="left" vertical="center"/>
      <protection hidden="1"/>
    </xf>
    <xf numFmtId="10" fontId="0" fillId="2" borderId="31" xfId="0" applyNumberForma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0" fillId="6" borderId="18" xfId="0" applyFill="1" applyBorder="1" applyAlignment="1" applyProtection="1">
      <alignment vertical="center"/>
      <protection hidden="1"/>
    </xf>
    <xf numFmtId="0" fontId="0" fillId="6" borderId="28" xfId="0" applyFill="1" applyBorder="1" applyAlignment="1" applyProtection="1">
      <alignment vertical="center"/>
      <protection hidden="1"/>
    </xf>
    <xf numFmtId="10" fontId="0" fillId="2" borderId="33" xfId="0" applyNumberFormat="1" applyFill="1" applyBorder="1" applyAlignment="1" applyProtection="1">
      <alignment vertical="center"/>
      <protection hidden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3" fillId="0" borderId="9" xfId="0" applyFont="1" applyBorder="1"/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</cellXfs>
  <cellStyles count="1">
    <cellStyle name="Normal" xfId="0" builtinId="0"/>
  </cellStyles>
  <dxfs count="192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top style="medium">
          <color indexed="64"/>
        </top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top style="medium">
          <color indexed="64"/>
        </top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top style="medium">
          <color indexed="64"/>
        </top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border outline="0">
        <left style="medium">
          <color indexed="64"/>
        </left>
        <top style="medium">
          <color indexed="64"/>
        </top>
      </border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.00_ ;\-#,##0.00\ 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D53" totalsRowShown="0" headerRowDxfId="191" dataDxfId="189" headerRowBorderDxfId="190">
  <autoFilter ref="A3:D53" xr:uid="{00000000-0009-0000-0100-000001000000}"/>
  <tableColumns count="4">
    <tableColumn id="1" xr3:uid="{00000000-0010-0000-0000-000001000000}" name="Cas" dataDxfId="2"/>
    <tableColumn id="2" xr3:uid="{00000000-0010-0000-0000-000002000000}" name="Edat" dataDxfId="1"/>
    <tableColumn id="3" xr3:uid="{00000000-0010-0000-0000-000003000000}" name="Sexe" dataDxfId="3"/>
    <tableColumn id="4" xr3:uid="{00000000-0010-0000-0000-000004000000}" name="Ètnia" dataDxfId="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9000000}" name="Tabla2629" displayName="Tabla2629" ref="O3:Q53" totalsRowShown="0" headerRowDxfId="115" dataDxfId="113" headerRowBorderDxfId="114" tableBorderDxfId="112">
  <autoFilter ref="O3:Q53" xr:uid="{00000000-0009-0000-0100-00001C000000}"/>
  <tableColumns count="3">
    <tableColumn id="1" xr3:uid="{00000000-0010-0000-0900-000001000000}" name="Eix" dataDxfId="111"/>
    <tableColumn id="2" xr3:uid="{00000000-0010-0000-0900-000002000000}" name="DNC" dataDxfId="110"/>
    <tableColumn id="3" xr3:uid="{00000000-0010-0000-0900-000003000000}" name="hc" dataDxfId="109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E000000}" name="Tabla34" displayName="Tabla34" ref="R3:R53" totalsRowShown="0" headerRowDxfId="108" dataDxfId="106" headerRowBorderDxfId="107" tableBorderDxfId="105">
  <autoFilter ref="R3:R53" xr:uid="{00000000-0009-0000-0100-000022000000}"/>
  <tableColumns count="1">
    <tableColumn id="1" xr3:uid="{00000000-0010-0000-0E00-000001000000}" name="Sí / NO" dataDxfId="10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F000000}" name="Tabla36" displayName="Tabla36" ref="S3:S53" totalsRowShown="0" headerRowDxfId="103" dataDxfId="101" headerRowBorderDxfId="102" tableBorderDxfId="100">
  <autoFilter ref="S3:S53" xr:uid="{00000000-0009-0000-0100-000024000000}"/>
  <tableColumns count="1">
    <tableColumn id="1" xr3:uid="{00000000-0010-0000-0F00-000001000000}" name="Motius" dataDxfId="9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118" displayName="Tabla118" ref="A3:D53" totalsRowShown="0" headerRowDxfId="98" dataDxfId="97">
  <autoFilter ref="A3:D53" xr:uid="{00000000-0009-0000-0100-000011000000}"/>
  <tableColumns count="4">
    <tableColumn id="1" xr3:uid="{00000000-0010-0000-1000-000001000000}" name="Cas" dataDxfId="96"/>
    <tableColumn id="2" xr3:uid="{00000000-0010-0000-1000-000002000000}" name="Edat" dataDxfId="95"/>
    <tableColumn id="3" xr3:uid="{00000000-0010-0000-1000-000003000000}" name="Sexe" dataDxfId="94"/>
    <tableColumn id="4" xr3:uid="{00000000-0010-0000-1000-000004000000}" name="Ètnia" dataDxfId="93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419" displayName="Tabla419" ref="E3:H53" totalsRowShown="0" headerRowDxfId="92" dataDxfId="91">
  <autoFilter ref="E3:H53" xr:uid="{00000000-0009-0000-0100-000012000000}"/>
  <tableColumns count="4">
    <tableColumn id="3" xr3:uid="{00000000-0010-0000-1100-000003000000}" name="Eix" dataDxfId="90"/>
    <tableColumn id="2" xr3:uid="{00000000-0010-0000-1100-000002000000}" name="Cilindre" dataDxfId="89"/>
    <tableColumn id="1" xr3:uid="{00000000-0010-0000-1100-000001000000}" name="Esfera" dataDxfId="88"/>
    <tableColumn id="4" xr3:uid="{00000000-0010-0000-1100-000004000000}" name="DNP" dataDxfId="87"/>
  </tableColumns>
  <tableStyleInfo name="TableStyleMedium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520" displayName="Tabla520" ref="I3:L53" totalsRowShown="0" headerRowDxfId="86" dataDxfId="85" tableBorderDxfId="84">
  <autoFilter ref="I3:L53" xr:uid="{00000000-0009-0000-0100-000013000000}"/>
  <tableColumns count="4">
    <tableColumn id="1" xr3:uid="{00000000-0010-0000-1200-000001000000}" name="Eix" dataDxfId="83"/>
    <tableColumn id="2" xr3:uid="{00000000-0010-0000-1200-000002000000}" name="Cilindre" dataDxfId="82"/>
    <tableColumn id="3" xr3:uid="{00000000-0010-0000-1200-000003000000}" name="Esfera" dataDxfId="81"/>
    <tableColumn id="4" xr3:uid="{00000000-0010-0000-1200-000004000000}" name="DNP" dataDxfId="80"/>
  </tableColumns>
  <tableStyleInfo name="TableStyleMedium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7921" displayName="Tabla7921" ref="M3:N53" totalsRowShown="0" headerRowDxfId="79" dataDxfId="77" headerRowBorderDxfId="78" tableBorderDxfId="76">
  <autoFilter ref="M3:N53" xr:uid="{00000000-0009-0000-0100-000014000000}"/>
  <tableColumns count="2">
    <tableColumn id="1" xr3:uid="{00000000-0010-0000-1300-000001000000}" name="Adició" dataDxfId="75"/>
    <tableColumn id="2" xr3:uid="{00000000-0010-0000-1300-000002000000}" name="AV bino" dataDxfId="74"/>
  </tableColumns>
  <tableStyleInfo name="TableStyleMedium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922" displayName="Tabla922" ref="O3:AB53" totalsRowShown="0" headerRowDxfId="73" dataDxfId="71" headerRowBorderDxfId="72">
  <autoFilter ref="O3:AB53" xr:uid="{00000000-0009-0000-0100-000015000000}"/>
  <tableColumns count="14">
    <tableColumn id="1" xr3:uid="{00000000-0010-0000-1400-000001000000}" name="Fabricant" dataDxfId="70"/>
    <tableColumn id="15" xr3:uid="{00000000-0010-0000-1400-00000F000000}" name="Tipus" dataDxfId="69"/>
    <tableColumn id="2" xr3:uid="{00000000-0010-0000-1400-000002000000}" name="Material" dataDxfId="68"/>
    <tableColumn id="3" xr3:uid="{00000000-0010-0000-1400-000003000000}" name=" n" dataDxfId="67"/>
    <tableColumn id="4" xr3:uid="{00000000-0010-0000-1400-000004000000}" name="Superfície" dataDxfId="66"/>
    <tableColumn id="6" xr3:uid="{00000000-0010-0000-1400-000006000000}" name="Æ" dataDxfId="65"/>
    <tableColumn id="7" xr3:uid="{00000000-0010-0000-1400-000007000000}" name="Precal." dataDxfId="64"/>
    <tableColumn id="8" xr3:uid="{00000000-0010-0000-1400-000008000000}" name="AR" dataDxfId="63"/>
    <tableColumn id="9" xr3:uid="{00000000-0010-0000-1400-000009000000}" name="Endurit" dataDxfId="62"/>
    <tableColumn id="10" xr3:uid="{00000000-0010-0000-1400-00000A000000}" name="Hidròfob" dataDxfId="61"/>
    <tableColumn id="11" xr3:uid="{00000000-0010-0000-1400-00000B000000}" name="D" dataDxfId="60"/>
    <tableColumn id="12" xr3:uid="{00000000-0010-0000-1400-00000C000000}" name="Color" dataDxfId="59"/>
    <tableColumn id="13" xr3:uid="{00000000-0010-0000-1400-00000D000000}" name="Fotocròmic" dataDxfId="58"/>
    <tableColumn id="14" xr3:uid="{00000000-0010-0000-1400-00000E000000}" name="Filtre Blau" dataDxfId="57"/>
  </tableColumns>
  <tableStyleInfo name="TableStyleMedium1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1023" displayName="Tabla1023" ref="AC3:AK53" totalsRowShown="0" headerRowDxfId="56" dataDxfId="54" headerRowBorderDxfId="55" tableBorderDxfId="53">
  <autoFilter ref="AC3:AK53" xr:uid="{00000000-0009-0000-0100-000016000000}"/>
  <tableColumns count="9">
    <tableColumn id="1" xr3:uid="{00000000-0010-0000-1500-000001000000}" name="Material" dataDxfId="52"/>
    <tableColumn id="2" xr3:uid="{00000000-0010-0000-1500-000002000000}" name="L boxing" dataDxfId="51"/>
    <tableColumn id="3" xr3:uid="{00000000-0010-0000-1500-000003000000}" name="p boxing" dataDxfId="50"/>
    <tableColumn id="4" xr3:uid="{00000000-0010-0000-1500-000004000000}" name="L barnilla" dataDxfId="49"/>
    <tableColumn id="5" xr3:uid="{00000000-0010-0000-1500-000005000000}" name="q pantoscòpic" dataDxfId="48"/>
    <tableColumn id="6" xr3:uid="{00000000-0010-0000-1500-000006000000}" name="a facial" dataDxfId="47"/>
    <tableColumn id="7" xr3:uid="{00000000-0010-0000-1500-000007000000}" name="h cèrcol" dataDxfId="46"/>
    <tableColumn id="8" xr3:uid="{00000000-0010-0000-1500-000008000000}" name="h pupilar" dataDxfId="45"/>
    <tableColumn id="9" xr3:uid="{00000000-0010-0000-1500-000009000000}" name="hsegment" dataDxfId="44"/>
  </tableColumns>
  <tableStyleInfo name="TableStyleMedium1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16000000}" name="Tabla42548" displayName="Tabla42548" ref="B3:F53" totalsRowShown="0" headerRowDxfId="43" dataDxfId="42">
  <autoFilter ref="B3:F53" xr:uid="{00000000-0009-0000-0100-00002F000000}"/>
  <tableColumns count="5">
    <tableColumn id="3" xr3:uid="{00000000-0010-0000-1600-000003000000}" name="Eix" dataDxfId="41">
      <calculatedColumnFormula>Tabla419[[#This Row],[Eix]]</calculatedColumnFormula>
    </tableColumn>
    <tableColumn id="2" xr3:uid="{00000000-0010-0000-1600-000002000000}" name="Cilindre" dataDxfId="40">
      <calculatedColumnFormula>Tabla419[[#This Row],[Cilindre]]</calculatedColumnFormula>
    </tableColumn>
    <tableColumn id="1" xr3:uid="{00000000-0010-0000-1600-000001000000}" name="Esfera" dataDxfId="39">
      <calculatedColumnFormula>Tabla419[[#This Row],[Esfera]]</calculatedColumnFormula>
    </tableColumn>
    <tableColumn id="4" xr3:uid="{00000000-0010-0000-1600-000004000000}" name="DNP" dataDxfId="38">
      <calculatedColumnFormula>Tabla419[[#This Row],[DNP]]</calculatedColumnFormula>
    </tableColumn>
    <tableColumn id="6" xr3:uid="{00000000-0010-0000-1600-000006000000}" name="hp" dataDxfId="37">
      <calculatedColumnFormula>Tabla1023[[#This Row],[h pupilar]]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E3:H53" totalsRowShown="0" headerRowDxfId="188" dataDxfId="187">
  <autoFilter ref="E3:H53" xr:uid="{00000000-0009-0000-0100-000004000000}"/>
  <tableColumns count="4">
    <tableColumn id="3" xr3:uid="{00000000-0010-0000-0100-000003000000}" name="Eix" dataDxfId="186"/>
    <tableColumn id="2" xr3:uid="{00000000-0010-0000-0100-000002000000}" name="Cilindre" dataDxfId="185"/>
    <tableColumn id="1" xr3:uid="{00000000-0010-0000-0100-000001000000}" name="Esfera" dataDxfId="184"/>
    <tableColumn id="4" xr3:uid="{00000000-0010-0000-0100-000004000000}" name="DNP" dataDxfId="183"/>
  </tableColumns>
  <tableStyleInfo name="TableStyleMedium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7000000}" name="Tabla52649" displayName="Tabla52649" ref="J3:N53" totalsRowShown="0" headerRowDxfId="36" dataDxfId="34" headerRowBorderDxfId="35" tableBorderDxfId="33">
  <autoFilter ref="J3:N53" xr:uid="{00000000-0009-0000-0100-000030000000}"/>
  <tableColumns count="5">
    <tableColumn id="1" xr3:uid="{00000000-0010-0000-1700-000001000000}" name="Eix" dataDxfId="32">
      <calculatedColumnFormula>Tabla520[[#This Row],[Eix]]</calculatedColumnFormula>
    </tableColumn>
    <tableColumn id="2" xr3:uid="{00000000-0010-0000-1700-000002000000}" name="Cilindre" dataDxfId="31">
      <calculatedColumnFormula>Tabla520[[#This Row],[Cilindre]]</calculatedColumnFormula>
    </tableColumn>
    <tableColumn id="3" xr3:uid="{00000000-0010-0000-1700-000003000000}" name="Esfera" dataDxfId="30">
      <calculatedColumnFormula>Tabla520[[#This Row],[Esfera]]</calculatedColumnFormula>
    </tableColumn>
    <tableColumn id="4" xr3:uid="{00000000-0010-0000-1700-000004000000}" name="DNP" dataDxfId="29">
      <calculatedColumnFormula>Tabla520[[#This Row],[DNP]]</calculatedColumnFormula>
    </tableColumn>
    <tableColumn id="5" xr3:uid="{00000000-0010-0000-1700-000005000000}" name="hp" dataDxfId="28">
      <calculatedColumnFormula>Tabla1023[[#This Row],[h pupilar]]</calculatedColumnFormula>
    </tableColumn>
  </tableColumns>
  <tableStyleInfo name="TableStyleMedium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8000000}" name="Tabla2650" displayName="Tabla2650" ref="G3:I53" totalsRowShown="0" headerRowDxfId="27" dataDxfId="25" headerRowBorderDxfId="26" tableBorderDxfId="24">
  <autoFilter ref="G3:I53" xr:uid="{00000000-0009-0000-0100-000031000000}"/>
  <tableColumns count="3">
    <tableColumn id="1" xr3:uid="{00000000-0010-0000-1800-000001000000}" name="Eix" dataDxfId="23"/>
    <tableColumn id="2" xr3:uid="{00000000-0010-0000-1800-000002000000}" name="DNC" dataDxfId="22"/>
    <tableColumn id="3" xr3:uid="{00000000-0010-0000-1800-000003000000}" name="hc" dataDxfId="21"/>
  </tableColumns>
  <tableStyleInfo name="TableStyleMedium1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9000000}" name="Tabla262951" displayName="Tabla262951" ref="O3:Q53" totalsRowShown="0" headerRowDxfId="20" dataDxfId="18" headerRowBorderDxfId="19" tableBorderDxfId="17">
  <autoFilter ref="O3:Q53" xr:uid="{00000000-0009-0000-0100-000032000000}"/>
  <tableColumns count="3">
    <tableColumn id="1" xr3:uid="{00000000-0010-0000-1900-000001000000}" name="Eix" dataDxfId="16"/>
    <tableColumn id="2" xr3:uid="{00000000-0010-0000-1900-000002000000}" name="DNC" dataDxfId="15"/>
    <tableColumn id="3" xr3:uid="{00000000-0010-0000-1900-000003000000}" name="hc" dataDxfId="14"/>
  </tableColumns>
  <tableStyleInfo name="TableStyleMedium1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E000000}" name="Tabla3456" displayName="Tabla3456" ref="R3:R53" totalsRowShown="0" headerRowDxfId="13" dataDxfId="11" headerRowBorderDxfId="12" tableBorderDxfId="10">
  <autoFilter ref="R3:R53" xr:uid="{00000000-0009-0000-0100-000037000000}"/>
  <tableColumns count="1">
    <tableColumn id="1" xr3:uid="{00000000-0010-0000-1E00-000001000000}" name="Sí / NO" dataDxfId="9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F000000}" name="Tabla3657" displayName="Tabla3657" ref="S3:S53" totalsRowShown="0" headerRowDxfId="8" dataDxfId="6" headerRowBorderDxfId="7" tableBorderDxfId="5">
  <autoFilter ref="S3:S53" xr:uid="{00000000-0009-0000-0100-000038000000}"/>
  <tableColumns count="1">
    <tableColumn id="1" xr3:uid="{00000000-0010-0000-1F00-000001000000}" name="Motius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I3:L53" totalsRowShown="0" headerRowDxfId="182" dataDxfId="181" tableBorderDxfId="180">
  <autoFilter ref="I3:L53" xr:uid="{00000000-0009-0000-0100-000005000000}"/>
  <tableColumns count="4">
    <tableColumn id="1" xr3:uid="{00000000-0010-0000-0200-000001000000}" name="Eix" dataDxfId="179"/>
    <tableColumn id="2" xr3:uid="{00000000-0010-0000-0200-000002000000}" name="Cilindre" dataDxfId="178"/>
    <tableColumn id="3" xr3:uid="{00000000-0010-0000-0200-000003000000}" name="Esfera" dataDxfId="177"/>
    <tableColumn id="4" xr3:uid="{00000000-0010-0000-0200-000004000000}" name="DNP" dataDxfId="176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79" displayName="Tabla79" ref="M3:O53" totalsRowShown="0" headerRowDxfId="175" dataDxfId="173" headerRowBorderDxfId="174" tableBorderDxfId="172">
  <autoFilter ref="M3:O53" xr:uid="{00000000-0009-0000-0100-000008000000}"/>
  <tableColumns count="3">
    <tableColumn id="1" xr3:uid="{00000000-0010-0000-0300-000001000000}" name="Distància " dataDxfId="171"/>
    <tableColumn id="3" xr3:uid="{00000000-0010-0000-0300-000003000000}" name="Adició" dataDxfId="170"/>
    <tableColumn id="2" xr3:uid="{00000000-0010-0000-0300-000002000000}" name="AV bino" dataDxfId="169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P3:AC53" totalsRowShown="0" headerRowDxfId="168" dataDxfId="166" headerRowBorderDxfId="167">
  <autoFilter ref="P3:AC53" xr:uid="{00000000-0009-0000-0100-000009000000}"/>
  <tableColumns count="14">
    <tableColumn id="1" xr3:uid="{00000000-0010-0000-0400-000001000000}" name="Fabricant" dataDxfId="165"/>
    <tableColumn id="2" xr3:uid="{00000000-0010-0000-0400-000002000000}" name="Material" dataDxfId="164"/>
    <tableColumn id="3" xr3:uid="{00000000-0010-0000-0400-000003000000}" name=" n" dataDxfId="163"/>
    <tableColumn id="4" xr3:uid="{00000000-0010-0000-0400-000004000000}" name="Superfície" dataDxfId="162"/>
    <tableColumn id="5" xr3:uid="{00000000-0010-0000-0400-000005000000}" name="Base" dataDxfId="161"/>
    <tableColumn id="6" xr3:uid="{00000000-0010-0000-0400-000006000000}" name="Æ" dataDxfId="160"/>
    <tableColumn id="7" xr3:uid="{00000000-0010-0000-0400-000007000000}" name="Precal." dataDxfId="159"/>
    <tableColumn id="8" xr3:uid="{00000000-0010-0000-0400-000008000000}" name="AR" dataDxfId="158"/>
    <tableColumn id="9" xr3:uid="{00000000-0010-0000-0400-000009000000}" name="Endurit" dataDxfId="157"/>
    <tableColumn id="10" xr3:uid="{00000000-0010-0000-0400-00000A000000}" name="Hidròfob" dataDxfId="156"/>
    <tableColumn id="11" xr3:uid="{00000000-0010-0000-0400-00000B000000}" name="D" dataDxfId="155"/>
    <tableColumn id="12" xr3:uid="{00000000-0010-0000-0400-00000C000000}" name="Color" dataDxfId="154"/>
    <tableColumn id="13" xr3:uid="{00000000-0010-0000-0400-00000D000000}" name="Fotocròmic" dataDxfId="153"/>
    <tableColumn id="14" xr3:uid="{00000000-0010-0000-0400-00000E000000}" name="Filtre Blau" dataDxfId="152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a10" displayName="Tabla10" ref="AD3:AL53" totalsRowShown="0" headerRowDxfId="151" dataDxfId="149" headerRowBorderDxfId="150" tableBorderDxfId="148">
  <autoFilter ref="AD3:AL53" xr:uid="{00000000-0009-0000-0100-00000A000000}"/>
  <tableColumns count="9">
    <tableColumn id="1" xr3:uid="{00000000-0010-0000-0500-000001000000}" name="Material" dataDxfId="147"/>
    <tableColumn id="2" xr3:uid="{00000000-0010-0000-0500-000002000000}" name="L boxing" dataDxfId="146"/>
    <tableColumn id="3" xr3:uid="{00000000-0010-0000-0500-000003000000}" name="p boxing" dataDxfId="145"/>
    <tableColumn id="4" xr3:uid="{00000000-0010-0000-0500-000004000000}" name="l barnilla" dataDxfId="144"/>
    <tableColumn id="5" xr3:uid="{00000000-0010-0000-0500-000005000000}" name="q pantoscòpic" dataDxfId="143"/>
    <tableColumn id="6" xr3:uid="{00000000-0010-0000-0500-000006000000}" name="a facial" dataDxfId="142"/>
    <tableColumn id="7" xr3:uid="{00000000-0010-0000-0500-000007000000}" name="h cèrcol" dataDxfId="141"/>
    <tableColumn id="8" xr3:uid="{00000000-0010-0000-0500-000008000000}" name="hp UD" dataDxfId="140"/>
    <tableColumn id="9" xr3:uid="{00000000-0010-0000-0500-000009000000}" name="hp UE" dataDxfId="139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6000000}" name="Tabla425" displayName="Tabla425" ref="B3:F53" totalsRowShown="0" headerRowDxfId="138" dataDxfId="137">
  <autoFilter ref="B3:F53" xr:uid="{00000000-0009-0000-0100-000018000000}"/>
  <tableColumns count="5">
    <tableColumn id="3" xr3:uid="{00000000-0010-0000-0600-000003000000}" name="Eix" dataDxfId="136">
      <calculatedColumnFormula>Tabla4[[#This Row],[Eix]]</calculatedColumnFormula>
    </tableColumn>
    <tableColumn id="2" xr3:uid="{00000000-0010-0000-0600-000002000000}" name="Cilindre" dataDxfId="135">
      <calculatedColumnFormula>Tabla4[[#This Row],[Cilindre]]</calculatedColumnFormula>
    </tableColumn>
    <tableColumn id="1" xr3:uid="{00000000-0010-0000-0600-000001000000}" name="Esfera" dataDxfId="134">
      <calculatedColumnFormula>Tabla4[[#This Row],[Esfera]]+Tabla79[[#This Row],[Adició]]</calculatedColumnFormula>
    </tableColumn>
    <tableColumn id="4" xr3:uid="{00000000-0010-0000-0600-000004000000}" name="DNP" dataDxfId="133">
      <calculatedColumnFormula>Tabla4[[#This Row],[DNP]]</calculatedColumnFormula>
    </tableColumn>
    <tableColumn id="6" xr3:uid="{00000000-0010-0000-0600-000006000000}" name="hp" dataDxfId="132">
      <calculatedColumnFormula>Tabla10[[#This Row],[hp UD]]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7000000}" name="Tabla526" displayName="Tabla526" ref="J3:N53" totalsRowShown="0" headerRowDxfId="131" dataDxfId="129" headerRowBorderDxfId="130" tableBorderDxfId="128">
  <autoFilter ref="J3:N53" xr:uid="{00000000-0009-0000-0100-000019000000}"/>
  <tableColumns count="5">
    <tableColumn id="1" xr3:uid="{00000000-0010-0000-0700-000001000000}" name="Eix" dataDxfId="127">
      <calculatedColumnFormula>Tabla5[[#This Row],[Eix]]</calculatedColumnFormula>
    </tableColumn>
    <tableColumn id="2" xr3:uid="{00000000-0010-0000-0700-000002000000}" name="Cilindre" dataDxfId="126">
      <calculatedColumnFormula>Tabla5[[#This Row],[Cilindre]]</calculatedColumnFormula>
    </tableColumn>
    <tableColumn id="3" xr3:uid="{00000000-0010-0000-0700-000003000000}" name="Esfera" dataDxfId="125">
      <calculatedColumnFormula>Tabla5[[#This Row],[Esfera]]</calculatedColumnFormula>
    </tableColumn>
    <tableColumn id="4" xr3:uid="{00000000-0010-0000-0700-000004000000}" name="DNP" dataDxfId="124">
      <calculatedColumnFormula>Tabla5[[#This Row],[DNP]]</calculatedColumnFormula>
    </tableColumn>
    <tableColumn id="5" xr3:uid="{00000000-0010-0000-0700-000005000000}" name="hp" dataDxfId="123">
      <calculatedColumnFormula>Tabla10[[#This Row],[hp UE]]</calculatedColumnFormula>
    </tableColumn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8000000}" name="Tabla26" displayName="Tabla26" ref="G3:I53" totalsRowShown="0" headerRowDxfId="122" dataDxfId="120" headerRowBorderDxfId="121" tableBorderDxfId="119">
  <autoFilter ref="G3:I53" xr:uid="{00000000-0009-0000-0100-00001A000000}"/>
  <tableColumns count="3">
    <tableColumn id="1" xr3:uid="{00000000-0010-0000-0800-000001000000}" name="Eix" dataDxfId="118"/>
    <tableColumn id="2" xr3:uid="{00000000-0010-0000-0800-000002000000}" name="DNC" dataDxfId="117"/>
    <tableColumn id="3" xr3:uid="{00000000-0010-0000-0800-000003000000}" name="hc" dataDxfId="116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L58"/>
  <sheetViews>
    <sheetView zoomScaleNormal="100" workbookViewId="0">
      <selection activeCell="Q3" sqref="Q1:Q1048576"/>
    </sheetView>
  </sheetViews>
  <sheetFormatPr baseColWidth="10" defaultRowHeight="15" x14ac:dyDescent="0.25"/>
  <cols>
    <col min="1" max="1" width="7.42578125" customWidth="1"/>
    <col min="2" max="2" width="7.5703125" style="273" customWidth="1"/>
    <col min="3" max="3" width="7.7109375" style="264" customWidth="1"/>
    <col min="4" max="4" width="14" style="264" customWidth="1"/>
    <col min="5" max="5" width="6.7109375" customWidth="1"/>
    <col min="6" max="6" width="10.7109375" customWidth="1"/>
    <col min="7" max="7" width="8.7109375" customWidth="1"/>
    <col min="8" max="8" width="7.7109375" customWidth="1"/>
    <col min="9" max="9" width="6.7109375" customWidth="1"/>
    <col min="10" max="10" width="10.7109375" customWidth="1"/>
    <col min="11" max="11" width="8.7109375" customWidth="1"/>
    <col min="12" max="12" width="7.7109375" customWidth="1"/>
    <col min="13" max="13" width="11.42578125" customWidth="1"/>
    <col min="14" max="14" width="15.85546875" customWidth="1"/>
    <col min="15" max="15" width="10.85546875" customWidth="1"/>
    <col min="16" max="16" width="11.7109375" customWidth="1"/>
    <col min="17" max="17" width="10.7109375" customWidth="1"/>
    <col min="18" max="18" width="6" customWidth="1"/>
    <col min="19" max="19" width="12.7109375" customWidth="1"/>
    <col min="20" max="20" width="8.7109375" customWidth="1"/>
    <col min="21" max="21" width="7.28515625" customWidth="1"/>
    <col min="22" max="22" width="10.28515625" customWidth="1"/>
    <col min="23" max="23" width="7.28515625" customWidth="1"/>
    <col min="24" max="24" width="10.42578125" customWidth="1"/>
    <col min="25" max="25" width="11" customWidth="1"/>
    <col min="26" max="26" width="7" customWidth="1"/>
    <col min="27" max="27" width="9.140625" customWidth="1"/>
    <col min="28" max="28" width="13.7109375" customWidth="1"/>
    <col min="29" max="29" width="13" customWidth="1"/>
    <col min="30" max="30" width="10.7109375" customWidth="1"/>
    <col min="31" max="33" width="12.7109375" customWidth="1"/>
    <col min="34" max="34" width="16.140625" customWidth="1"/>
    <col min="35" max="35" width="10.42578125" customWidth="1"/>
    <col min="36" max="36" width="10.5703125" customWidth="1"/>
    <col min="37" max="37" width="9.140625" customWidth="1"/>
    <col min="38" max="38" width="8.7109375" customWidth="1"/>
  </cols>
  <sheetData>
    <row r="1" spans="1:38" ht="18.75" customHeight="1" thickBot="1" x14ac:dyDescent="0.3">
      <c r="A1" s="283" t="s">
        <v>0</v>
      </c>
      <c r="B1" s="284"/>
      <c r="C1" s="284"/>
      <c r="D1" s="285"/>
      <c r="E1" s="289" t="s">
        <v>115</v>
      </c>
      <c r="F1" s="290"/>
      <c r="G1" s="290"/>
      <c r="H1" s="290"/>
      <c r="I1" s="290"/>
      <c r="J1" s="290"/>
      <c r="K1" s="290"/>
      <c r="L1" s="290"/>
      <c r="M1" s="174"/>
      <c r="N1" s="174"/>
      <c r="O1" s="175"/>
      <c r="P1" s="282" t="s">
        <v>30</v>
      </c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2"/>
      <c r="AD1" s="296" t="s">
        <v>66</v>
      </c>
      <c r="AE1" s="297"/>
      <c r="AF1" s="297"/>
      <c r="AG1" s="297"/>
      <c r="AH1" s="297"/>
      <c r="AI1" s="297"/>
      <c r="AJ1" s="297"/>
      <c r="AK1" s="297"/>
      <c r="AL1" s="298"/>
    </row>
    <row r="2" spans="1:38" ht="15.75" customHeight="1" thickBot="1" x14ac:dyDescent="0.3">
      <c r="A2" s="286"/>
      <c r="B2" s="287"/>
      <c r="C2" s="287"/>
      <c r="D2" s="288"/>
      <c r="E2" s="215" t="s">
        <v>11</v>
      </c>
      <c r="F2" s="216"/>
      <c r="G2" s="216"/>
      <c r="H2" s="217"/>
      <c r="I2" s="218" t="s">
        <v>10</v>
      </c>
      <c r="J2" s="218"/>
      <c r="K2" s="218"/>
      <c r="L2" s="219"/>
      <c r="M2" s="52"/>
      <c r="N2" s="176" t="s">
        <v>112</v>
      </c>
      <c r="O2" s="53"/>
      <c r="P2" s="293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5"/>
      <c r="AD2" s="299"/>
      <c r="AE2" s="300"/>
      <c r="AF2" s="300"/>
      <c r="AG2" s="300"/>
      <c r="AH2" s="300"/>
      <c r="AI2" s="300"/>
      <c r="AJ2" s="300"/>
      <c r="AK2" s="300"/>
      <c r="AL2" s="301"/>
    </row>
    <row r="3" spans="1:38" ht="15.75" thickBot="1" x14ac:dyDescent="0.3">
      <c r="A3" s="54" t="s">
        <v>18</v>
      </c>
      <c r="B3" s="55" t="s">
        <v>19</v>
      </c>
      <c r="C3" s="255" t="s">
        <v>20</v>
      </c>
      <c r="D3" s="274" t="s">
        <v>21</v>
      </c>
      <c r="E3" s="58" t="s">
        <v>22</v>
      </c>
      <c r="F3" s="59" t="s">
        <v>23</v>
      </c>
      <c r="G3" s="59" t="s">
        <v>24</v>
      </c>
      <c r="H3" s="60" t="s">
        <v>13</v>
      </c>
      <c r="I3" s="59" t="s">
        <v>22</v>
      </c>
      <c r="J3" s="59" t="s">
        <v>23</v>
      </c>
      <c r="K3" s="59" t="s">
        <v>24</v>
      </c>
      <c r="L3" s="59" t="s">
        <v>13</v>
      </c>
      <c r="M3" s="61" t="s">
        <v>116</v>
      </c>
      <c r="N3" s="171" t="s">
        <v>93</v>
      </c>
      <c r="O3" s="61" t="s">
        <v>113</v>
      </c>
      <c r="P3" s="63" t="s">
        <v>31</v>
      </c>
      <c r="Q3" s="63" t="s">
        <v>32</v>
      </c>
      <c r="R3" s="64" t="s">
        <v>91</v>
      </c>
      <c r="S3" s="63" t="s">
        <v>34</v>
      </c>
      <c r="T3" s="63" t="s">
        <v>35</v>
      </c>
      <c r="U3" s="65" t="s">
        <v>39</v>
      </c>
      <c r="V3" s="63" t="s">
        <v>92</v>
      </c>
      <c r="W3" s="63" t="s">
        <v>36</v>
      </c>
      <c r="X3" s="63" t="s">
        <v>37</v>
      </c>
      <c r="Y3" s="63" t="s">
        <v>38</v>
      </c>
      <c r="Z3" s="65" t="s">
        <v>40</v>
      </c>
      <c r="AA3" s="63" t="s">
        <v>41</v>
      </c>
      <c r="AB3" s="63" t="s">
        <v>117</v>
      </c>
      <c r="AC3" s="63" t="s">
        <v>42</v>
      </c>
      <c r="AD3" s="62" t="s">
        <v>32</v>
      </c>
      <c r="AE3" s="63" t="s">
        <v>67</v>
      </c>
      <c r="AF3" s="63" t="s">
        <v>68</v>
      </c>
      <c r="AG3" s="302" t="s">
        <v>118</v>
      </c>
      <c r="AH3" s="63" t="s">
        <v>90</v>
      </c>
      <c r="AI3" s="63" t="s">
        <v>71</v>
      </c>
      <c r="AJ3" s="63" t="s">
        <v>72</v>
      </c>
      <c r="AK3" s="63" t="s">
        <v>105</v>
      </c>
      <c r="AL3" s="66" t="s">
        <v>106</v>
      </c>
    </row>
    <row r="4" spans="1:38" x14ac:dyDescent="0.25">
      <c r="A4" s="168">
        <v>1</v>
      </c>
      <c r="B4" s="265"/>
      <c r="C4" s="256"/>
      <c r="D4" s="275"/>
      <c r="E4" s="4"/>
      <c r="F4" s="5"/>
      <c r="G4" s="147"/>
      <c r="H4" s="98"/>
      <c r="I4" s="5"/>
      <c r="J4" s="5"/>
      <c r="K4" s="5"/>
      <c r="L4" s="98"/>
      <c r="M4" s="3"/>
      <c r="N4" s="172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3"/>
      <c r="AE4" s="3"/>
      <c r="AF4" s="3"/>
      <c r="AG4" s="3"/>
      <c r="AH4" s="3"/>
      <c r="AI4" s="3"/>
      <c r="AJ4" s="3"/>
      <c r="AK4" s="3"/>
      <c r="AL4" s="3"/>
    </row>
    <row r="5" spans="1:38" x14ac:dyDescent="0.25">
      <c r="A5" s="136">
        <v>2</v>
      </c>
      <c r="B5" s="266"/>
      <c r="C5" s="257"/>
      <c r="D5" s="276"/>
      <c r="E5" s="6"/>
      <c r="F5" s="3"/>
      <c r="G5" s="148"/>
      <c r="H5" s="99"/>
      <c r="I5" s="3"/>
      <c r="J5" s="3"/>
      <c r="K5" s="3"/>
      <c r="L5" s="99"/>
      <c r="M5" s="3"/>
      <c r="N5" s="17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99"/>
      <c r="AD5" s="3"/>
      <c r="AE5" s="3"/>
      <c r="AF5" s="3"/>
      <c r="AG5" s="3"/>
      <c r="AH5" s="3"/>
      <c r="AI5" s="3"/>
      <c r="AJ5" s="3"/>
      <c r="AK5" s="3"/>
      <c r="AL5" s="3"/>
    </row>
    <row r="6" spans="1:38" x14ac:dyDescent="0.25">
      <c r="A6" s="136">
        <v>3</v>
      </c>
      <c r="B6" s="266"/>
      <c r="C6" s="257"/>
      <c r="D6" s="276"/>
      <c r="E6" s="6"/>
      <c r="F6" s="3"/>
      <c r="G6" s="148"/>
      <c r="H6" s="99"/>
      <c r="I6" s="3"/>
      <c r="J6" s="3"/>
      <c r="K6" s="3"/>
      <c r="L6" s="99"/>
      <c r="M6" s="3"/>
      <c r="N6" s="17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99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25">
      <c r="A7" s="136">
        <v>4</v>
      </c>
      <c r="B7" s="266"/>
      <c r="C7" s="257"/>
      <c r="D7" s="276"/>
      <c r="E7" s="6"/>
      <c r="F7" s="3"/>
      <c r="G7" s="148"/>
      <c r="H7" s="99"/>
      <c r="I7" s="3"/>
      <c r="J7" s="3"/>
      <c r="K7" s="3"/>
      <c r="L7" s="99"/>
      <c r="M7" s="3"/>
      <c r="N7" s="17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99"/>
      <c r="AD7" s="3"/>
      <c r="AE7" s="3"/>
      <c r="AF7" s="3"/>
      <c r="AG7" s="3"/>
      <c r="AH7" s="3"/>
      <c r="AI7" s="3"/>
      <c r="AJ7" s="3"/>
      <c r="AK7" s="3"/>
      <c r="AL7" s="3"/>
    </row>
    <row r="8" spans="1:38" x14ac:dyDescent="0.25">
      <c r="A8" s="136">
        <v>5</v>
      </c>
      <c r="B8" s="266"/>
      <c r="C8" s="257"/>
      <c r="D8" s="276"/>
      <c r="E8" s="6"/>
      <c r="F8" s="3"/>
      <c r="G8" s="148"/>
      <c r="H8" s="99"/>
      <c r="I8" s="3"/>
      <c r="J8" s="3"/>
      <c r="K8" s="3"/>
      <c r="L8" s="99"/>
      <c r="M8" s="3"/>
      <c r="N8" s="17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99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25">
      <c r="A9" s="136">
        <v>6</v>
      </c>
      <c r="B9" s="266"/>
      <c r="C9" s="257"/>
      <c r="D9" s="276"/>
      <c r="E9" s="6"/>
      <c r="F9" s="3"/>
      <c r="G9" s="148"/>
      <c r="H9" s="99"/>
      <c r="I9" s="3"/>
      <c r="J9" s="3"/>
      <c r="K9" s="3"/>
      <c r="L9" s="99"/>
      <c r="M9" s="3"/>
      <c r="N9" s="17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99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5">
      <c r="A10" s="136">
        <v>7</v>
      </c>
      <c r="B10" s="266"/>
      <c r="C10" s="257"/>
      <c r="D10" s="276"/>
      <c r="E10" s="6"/>
      <c r="F10" s="3"/>
      <c r="G10" s="148"/>
      <c r="H10" s="99"/>
      <c r="I10" s="3"/>
      <c r="J10" s="3"/>
      <c r="K10" s="3"/>
      <c r="L10" s="99"/>
      <c r="M10" s="3"/>
      <c r="N10" s="17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99"/>
      <c r="AD10" s="3"/>
      <c r="AE10" s="3"/>
      <c r="AF10" s="3"/>
      <c r="AG10" s="3"/>
      <c r="AH10" s="3"/>
      <c r="AI10" s="3"/>
      <c r="AJ10" s="3"/>
      <c r="AK10" s="3"/>
      <c r="AL10" s="3"/>
    </row>
    <row r="11" spans="1:38" x14ac:dyDescent="0.25">
      <c r="A11" s="136">
        <v>8</v>
      </c>
      <c r="B11" s="266"/>
      <c r="C11" s="257"/>
      <c r="D11" s="276"/>
      <c r="E11" s="6"/>
      <c r="F11" s="3"/>
      <c r="G11" s="148"/>
      <c r="H11" s="99"/>
      <c r="I11" s="3"/>
      <c r="J11" s="3"/>
      <c r="K11" s="3"/>
      <c r="L11" s="99"/>
      <c r="M11" s="3"/>
      <c r="N11" s="17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99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5">
      <c r="A12" s="136">
        <v>9</v>
      </c>
      <c r="B12" s="266"/>
      <c r="C12" s="257"/>
      <c r="D12" s="276"/>
      <c r="E12" s="6"/>
      <c r="F12" s="3"/>
      <c r="G12" s="148"/>
      <c r="H12" s="99"/>
      <c r="I12" s="3"/>
      <c r="J12" s="3"/>
      <c r="K12" s="3"/>
      <c r="L12" s="99"/>
      <c r="M12" s="3"/>
      <c r="N12" s="17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99"/>
      <c r="AD12" s="3"/>
      <c r="AE12" s="3"/>
      <c r="AF12" s="3"/>
      <c r="AG12" s="3"/>
      <c r="AH12" s="3"/>
      <c r="AI12" s="3"/>
      <c r="AJ12" s="3"/>
      <c r="AK12" s="3"/>
      <c r="AL12" s="3"/>
    </row>
    <row r="13" spans="1:38" x14ac:dyDescent="0.25">
      <c r="A13" s="136">
        <v>10</v>
      </c>
      <c r="B13" s="266"/>
      <c r="C13" s="257"/>
      <c r="D13" s="276"/>
      <c r="E13" s="6"/>
      <c r="F13" s="3"/>
      <c r="G13" s="148"/>
      <c r="H13" s="99"/>
      <c r="I13" s="3"/>
      <c r="J13" s="3"/>
      <c r="K13" s="3"/>
      <c r="L13" s="99"/>
      <c r="M13" s="3"/>
      <c r="N13" s="17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99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5">
      <c r="A14" s="136">
        <v>11</v>
      </c>
      <c r="B14" s="266"/>
      <c r="C14" s="257"/>
      <c r="D14" s="276"/>
      <c r="E14" s="6"/>
      <c r="F14" s="3"/>
      <c r="G14" s="148"/>
      <c r="H14" s="99"/>
      <c r="I14" s="3"/>
      <c r="J14" s="3"/>
      <c r="K14" s="3"/>
      <c r="L14" s="99"/>
      <c r="M14" s="3"/>
      <c r="N14" s="17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99"/>
      <c r="AD14" s="3"/>
      <c r="AE14" s="3"/>
      <c r="AF14" s="3"/>
      <c r="AG14" s="3"/>
      <c r="AH14" s="3"/>
      <c r="AI14" s="3"/>
      <c r="AJ14" s="3"/>
      <c r="AK14" s="3"/>
      <c r="AL14" s="3"/>
    </row>
    <row r="15" spans="1:38" x14ac:dyDescent="0.25">
      <c r="A15" s="136">
        <v>12</v>
      </c>
      <c r="B15" s="266"/>
      <c r="C15" s="257"/>
      <c r="D15" s="276"/>
      <c r="E15" s="6"/>
      <c r="F15" s="3"/>
      <c r="G15" s="148"/>
      <c r="H15" s="99"/>
      <c r="I15" s="3"/>
      <c r="J15" s="3"/>
      <c r="K15" s="3"/>
      <c r="L15" s="99"/>
      <c r="M15" s="3"/>
      <c r="N15" s="17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99"/>
      <c r="AD15" s="3"/>
      <c r="AE15" s="3"/>
      <c r="AF15" s="3"/>
      <c r="AG15" s="3"/>
      <c r="AH15" s="3"/>
      <c r="AI15" s="3"/>
      <c r="AJ15" s="3"/>
      <c r="AK15" s="3"/>
      <c r="AL15" s="3"/>
    </row>
    <row r="16" spans="1:38" x14ac:dyDescent="0.25">
      <c r="A16" s="136">
        <v>13</v>
      </c>
      <c r="B16" s="266"/>
      <c r="C16" s="257"/>
      <c r="D16" s="276"/>
      <c r="E16" s="6"/>
      <c r="F16" s="3"/>
      <c r="G16" s="148"/>
      <c r="H16" s="99"/>
      <c r="I16" s="3"/>
      <c r="J16" s="3"/>
      <c r="K16" s="3"/>
      <c r="L16" s="99"/>
      <c r="M16" s="3"/>
      <c r="N16" s="17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99"/>
      <c r="AD16" s="3"/>
      <c r="AE16" s="3"/>
      <c r="AF16" s="3"/>
      <c r="AG16" s="3"/>
      <c r="AH16" s="3"/>
      <c r="AI16" s="3"/>
      <c r="AJ16" s="3"/>
      <c r="AK16" s="3"/>
      <c r="AL16" s="3"/>
    </row>
    <row r="17" spans="1:38" x14ac:dyDescent="0.25">
      <c r="A17" s="136">
        <v>14</v>
      </c>
      <c r="B17" s="266"/>
      <c r="C17" s="257"/>
      <c r="D17" s="276"/>
      <c r="E17" s="6"/>
      <c r="F17" s="3"/>
      <c r="G17" s="148"/>
      <c r="H17" s="99"/>
      <c r="I17" s="3"/>
      <c r="J17" s="3"/>
      <c r="K17" s="3"/>
      <c r="L17" s="99"/>
      <c r="M17" s="3"/>
      <c r="N17" s="17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99"/>
      <c r="AD17" s="3"/>
      <c r="AE17" s="3"/>
      <c r="AF17" s="3"/>
      <c r="AG17" s="3"/>
      <c r="AH17" s="3"/>
      <c r="AI17" s="3"/>
      <c r="AJ17" s="3"/>
      <c r="AK17" s="3"/>
      <c r="AL17" s="3"/>
    </row>
    <row r="18" spans="1:38" x14ac:dyDescent="0.25">
      <c r="A18" s="136">
        <v>15</v>
      </c>
      <c r="B18" s="266"/>
      <c r="C18" s="257"/>
      <c r="D18" s="276"/>
      <c r="E18" s="6"/>
      <c r="F18" s="3"/>
      <c r="G18" s="148"/>
      <c r="H18" s="99"/>
      <c r="I18" s="3"/>
      <c r="J18" s="3"/>
      <c r="K18" s="3"/>
      <c r="L18" s="99"/>
      <c r="M18" s="3"/>
      <c r="N18" s="17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99"/>
      <c r="AD18" s="3"/>
      <c r="AE18" s="3"/>
      <c r="AF18" s="3"/>
      <c r="AG18" s="3"/>
      <c r="AH18" s="3"/>
      <c r="AI18" s="3"/>
      <c r="AJ18" s="3"/>
      <c r="AK18" s="3"/>
      <c r="AL18" s="3"/>
    </row>
    <row r="19" spans="1:38" x14ac:dyDescent="0.25">
      <c r="A19" s="136">
        <v>16</v>
      </c>
      <c r="B19" s="266"/>
      <c r="C19" s="257"/>
      <c r="D19" s="276"/>
      <c r="E19" s="6"/>
      <c r="F19" s="3"/>
      <c r="G19" s="148"/>
      <c r="H19" s="99"/>
      <c r="I19" s="3"/>
      <c r="J19" s="3"/>
      <c r="K19" s="3"/>
      <c r="L19" s="99"/>
      <c r="M19" s="3"/>
      <c r="N19" s="17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99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25">
      <c r="A20" s="136">
        <v>17</v>
      </c>
      <c r="B20" s="266"/>
      <c r="C20" s="257"/>
      <c r="D20" s="276"/>
      <c r="E20" s="6"/>
      <c r="F20" s="3"/>
      <c r="G20" s="148"/>
      <c r="H20" s="99"/>
      <c r="I20" s="3"/>
      <c r="J20" s="3"/>
      <c r="K20" s="3"/>
      <c r="L20" s="99"/>
      <c r="M20" s="3"/>
      <c r="N20" s="17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99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5">
      <c r="A21" s="136">
        <v>18</v>
      </c>
      <c r="B21" s="266"/>
      <c r="C21" s="257"/>
      <c r="D21" s="276"/>
      <c r="E21" s="6"/>
      <c r="F21" s="3"/>
      <c r="G21" s="148"/>
      <c r="H21" s="99"/>
      <c r="I21" s="3"/>
      <c r="J21" s="3"/>
      <c r="K21" s="3"/>
      <c r="L21" s="99"/>
      <c r="M21" s="3"/>
      <c r="N21" s="17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99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5">
      <c r="A22" s="136">
        <v>19</v>
      </c>
      <c r="B22" s="266"/>
      <c r="C22" s="257"/>
      <c r="D22" s="276"/>
      <c r="E22" s="6"/>
      <c r="F22" s="3"/>
      <c r="G22" s="148"/>
      <c r="H22" s="99"/>
      <c r="I22" s="3"/>
      <c r="J22" s="3"/>
      <c r="K22" s="3"/>
      <c r="L22" s="99"/>
      <c r="M22" s="3"/>
      <c r="N22" s="17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99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5">
      <c r="A23" s="136">
        <v>20</v>
      </c>
      <c r="B23" s="266"/>
      <c r="C23" s="257"/>
      <c r="D23" s="276"/>
      <c r="E23" s="6"/>
      <c r="F23" s="3"/>
      <c r="G23" s="148"/>
      <c r="H23" s="99"/>
      <c r="I23" s="3"/>
      <c r="J23" s="3"/>
      <c r="K23" s="3"/>
      <c r="L23" s="99"/>
      <c r="M23" s="3"/>
      <c r="N23" s="17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99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25">
      <c r="A24" s="136">
        <v>21</v>
      </c>
      <c r="B24" s="266"/>
      <c r="C24" s="257"/>
      <c r="D24" s="276"/>
      <c r="E24" s="6"/>
      <c r="F24" s="3"/>
      <c r="G24" s="148"/>
      <c r="H24" s="99"/>
      <c r="I24" s="3"/>
      <c r="J24" s="3"/>
      <c r="K24" s="3"/>
      <c r="L24" s="99"/>
      <c r="M24" s="3"/>
      <c r="N24" s="17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99"/>
      <c r="AD24" s="3"/>
      <c r="AE24" s="3"/>
      <c r="AF24" s="3"/>
      <c r="AG24" s="3"/>
      <c r="AH24" s="3"/>
      <c r="AI24" s="3"/>
      <c r="AJ24" s="3"/>
      <c r="AK24" s="3"/>
      <c r="AL24" s="3"/>
    </row>
    <row r="25" spans="1:38" x14ac:dyDescent="0.25">
      <c r="A25" s="136">
        <v>22</v>
      </c>
      <c r="B25" s="266"/>
      <c r="C25" s="257"/>
      <c r="D25" s="276"/>
      <c r="E25" s="6"/>
      <c r="F25" s="3"/>
      <c r="G25" s="148"/>
      <c r="H25" s="99"/>
      <c r="I25" s="3"/>
      <c r="J25" s="3"/>
      <c r="K25" s="3"/>
      <c r="L25" s="99"/>
      <c r="M25" s="3"/>
      <c r="N25" s="17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99"/>
      <c r="AD25" s="3"/>
      <c r="AE25" s="3"/>
      <c r="AF25" s="3"/>
      <c r="AG25" s="3"/>
      <c r="AH25" s="3"/>
      <c r="AI25" s="3"/>
      <c r="AJ25" s="3"/>
      <c r="AK25" s="3"/>
      <c r="AL25" s="3"/>
    </row>
    <row r="26" spans="1:38" x14ac:dyDescent="0.25">
      <c r="A26" s="136">
        <v>23</v>
      </c>
      <c r="B26" s="266"/>
      <c r="C26" s="257"/>
      <c r="D26" s="276"/>
      <c r="E26" s="6"/>
      <c r="F26" s="3"/>
      <c r="G26" s="148"/>
      <c r="H26" s="99"/>
      <c r="I26" s="3"/>
      <c r="J26" s="3"/>
      <c r="K26" s="3"/>
      <c r="L26" s="99"/>
      <c r="M26" s="3"/>
      <c r="N26" s="17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99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25">
      <c r="A27" s="136">
        <v>24</v>
      </c>
      <c r="B27" s="266"/>
      <c r="C27" s="257"/>
      <c r="D27" s="276"/>
      <c r="E27" s="6"/>
      <c r="F27" s="3"/>
      <c r="G27" s="148"/>
      <c r="H27" s="99"/>
      <c r="I27" s="3"/>
      <c r="J27" s="3"/>
      <c r="K27" s="3"/>
      <c r="L27" s="99"/>
      <c r="M27" s="3"/>
      <c r="N27" s="17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99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5">
      <c r="A28" s="136">
        <v>25</v>
      </c>
      <c r="B28" s="266"/>
      <c r="C28" s="257"/>
      <c r="D28" s="276"/>
      <c r="E28" s="6"/>
      <c r="F28" s="3"/>
      <c r="G28" s="148"/>
      <c r="H28" s="99"/>
      <c r="I28" s="3"/>
      <c r="J28" s="3"/>
      <c r="K28" s="3"/>
      <c r="L28" s="99"/>
      <c r="M28" s="3"/>
      <c r="N28" s="17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99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5">
      <c r="A29" s="136">
        <v>26</v>
      </c>
      <c r="B29" s="266"/>
      <c r="C29" s="257"/>
      <c r="D29" s="276"/>
      <c r="E29" s="6"/>
      <c r="F29" s="3"/>
      <c r="G29" s="148"/>
      <c r="H29" s="99"/>
      <c r="I29" s="3"/>
      <c r="J29" s="3"/>
      <c r="K29" s="3"/>
      <c r="L29" s="99"/>
      <c r="M29" s="3"/>
      <c r="N29" s="17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99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25">
      <c r="A30" s="136">
        <v>27</v>
      </c>
      <c r="B30" s="266"/>
      <c r="C30" s="257"/>
      <c r="D30" s="276"/>
      <c r="E30" s="6"/>
      <c r="F30" s="3"/>
      <c r="G30" s="148"/>
      <c r="H30" s="99"/>
      <c r="I30" s="3"/>
      <c r="J30" s="3"/>
      <c r="K30" s="3"/>
      <c r="L30" s="99"/>
      <c r="M30" s="3"/>
      <c r="N30" s="17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99"/>
      <c r="AD30" s="3"/>
      <c r="AE30" s="3"/>
      <c r="AF30" s="3"/>
      <c r="AG30" s="3"/>
      <c r="AH30" s="3"/>
      <c r="AI30" s="3"/>
      <c r="AJ30" s="3"/>
      <c r="AK30" s="3"/>
      <c r="AL30" s="3"/>
    </row>
    <row r="31" spans="1:38" x14ac:dyDescent="0.25">
      <c r="A31" s="136">
        <v>28</v>
      </c>
      <c r="B31" s="266"/>
      <c r="C31" s="257"/>
      <c r="D31" s="276"/>
      <c r="E31" s="6"/>
      <c r="F31" s="3"/>
      <c r="G31" s="148"/>
      <c r="H31" s="99"/>
      <c r="I31" s="3"/>
      <c r="J31" s="3"/>
      <c r="K31" s="3"/>
      <c r="L31" s="99"/>
      <c r="M31" s="3"/>
      <c r="N31" s="17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99"/>
      <c r="AD31" s="3"/>
      <c r="AE31" s="3"/>
      <c r="AF31" s="3"/>
      <c r="AG31" s="3"/>
      <c r="AH31" s="3"/>
      <c r="AI31" s="3"/>
      <c r="AJ31" s="3"/>
      <c r="AK31" s="3"/>
      <c r="AL31" s="3"/>
    </row>
    <row r="32" spans="1:38" x14ac:dyDescent="0.25">
      <c r="A32" s="136">
        <v>29</v>
      </c>
      <c r="B32" s="266"/>
      <c r="C32" s="257"/>
      <c r="D32" s="276"/>
      <c r="E32" s="6"/>
      <c r="F32" s="3"/>
      <c r="G32" s="148"/>
      <c r="H32" s="99"/>
      <c r="I32" s="3"/>
      <c r="J32" s="3"/>
      <c r="K32" s="3"/>
      <c r="L32" s="99"/>
      <c r="M32" s="3"/>
      <c r="N32" s="17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99"/>
      <c r="AD32" s="3"/>
      <c r="AE32" s="3"/>
      <c r="AF32" s="3"/>
      <c r="AG32" s="3"/>
      <c r="AH32" s="3"/>
      <c r="AI32" s="3"/>
      <c r="AJ32" s="3"/>
      <c r="AK32" s="3"/>
      <c r="AL32" s="3"/>
    </row>
    <row r="33" spans="1:38" x14ac:dyDescent="0.25">
      <c r="A33" s="136">
        <v>30</v>
      </c>
      <c r="B33" s="266"/>
      <c r="C33" s="257"/>
      <c r="D33" s="276"/>
      <c r="E33" s="6"/>
      <c r="F33" s="3"/>
      <c r="G33" s="148"/>
      <c r="H33" s="99"/>
      <c r="I33" s="3"/>
      <c r="J33" s="3"/>
      <c r="K33" s="3"/>
      <c r="L33" s="99"/>
      <c r="M33" s="3"/>
      <c r="N33" s="17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99"/>
      <c r="AD33" s="3"/>
      <c r="AE33" s="3"/>
      <c r="AF33" s="3"/>
      <c r="AG33" s="3"/>
      <c r="AH33" s="3"/>
      <c r="AI33" s="3"/>
      <c r="AJ33" s="3"/>
      <c r="AK33" s="3"/>
      <c r="AL33" s="3"/>
    </row>
    <row r="34" spans="1:38" x14ac:dyDescent="0.25">
      <c r="A34" s="136">
        <v>31</v>
      </c>
      <c r="B34" s="266"/>
      <c r="C34" s="257"/>
      <c r="D34" s="276"/>
      <c r="E34" s="6"/>
      <c r="F34" s="3"/>
      <c r="G34" s="148"/>
      <c r="H34" s="99"/>
      <c r="I34" s="3"/>
      <c r="J34" s="3"/>
      <c r="K34" s="3"/>
      <c r="L34" s="99"/>
      <c r="M34" s="3"/>
      <c r="N34" s="17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99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5">
      <c r="A35" s="136">
        <v>32</v>
      </c>
      <c r="B35" s="266"/>
      <c r="C35" s="257"/>
      <c r="D35" s="276"/>
      <c r="E35" s="6"/>
      <c r="F35" s="3"/>
      <c r="G35" s="148"/>
      <c r="H35" s="99"/>
      <c r="I35" s="3"/>
      <c r="J35" s="3"/>
      <c r="K35" s="3"/>
      <c r="L35" s="99"/>
      <c r="M35" s="3"/>
      <c r="N35" s="17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99"/>
      <c r="AD35" s="3"/>
      <c r="AE35" s="3"/>
      <c r="AF35" s="3"/>
      <c r="AG35" s="3"/>
      <c r="AH35" s="3"/>
      <c r="AI35" s="3"/>
      <c r="AJ35" s="3"/>
      <c r="AK35" s="3"/>
      <c r="AL35" s="3"/>
    </row>
    <row r="36" spans="1:38" x14ac:dyDescent="0.25">
      <c r="A36" s="136">
        <v>33</v>
      </c>
      <c r="B36" s="266"/>
      <c r="C36" s="257"/>
      <c r="D36" s="276"/>
      <c r="E36" s="6"/>
      <c r="F36" s="3"/>
      <c r="G36" s="148"/>
      <c r="H36" s="99"/>
      <c r="I36" s="3"/>
      <c r="J36" s="3"/>
      <c r="K36" s="3"/>
      <c r="L36" s="99"/>
      <c r="M36" s="3"/>
      <c r="N36" s="17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99"/>
      <c r="AD36" s="3"/>
      <c r="AE36" s="3"/>
      <c r="AF36" s="3"/>
      <c r="AG36" s="3"/>
      <c r="AH36" s="3"/>
      <c r="AI36" s="3"/>
      <c r="AJ36" s="3"/>
      <c r="AK36" s="3"/>
      <c r="AL36" s="3"/>
    </row>
    <row r="37" spans="1:38" x14ac:dyDescent="0.25">
      <c r="A37" s="136">
        <v>34</v>
      </c>
      <c r="B37" s="266"/>
      <c r="C37" s="257"/>
      <c r="D37" s="276"/>
      <c r="E37" s="6"/>
      <c r="F37" s="3"/>
      <c r="G37" s="148"/>
      <c r="H37" s="99"/>
      <c r="I37" s="3"/>
      <c r="J37" s="3"/>
      <c r="K37" s="3"/>
      <c r="L37" s="99"/>
      <c r="M37" s="3"/>
      <c r="N37" s="17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99"/>
      <c r="AD37" s="3"/>
      <c r="AE37" s="3"/>
      <c r="AF37" s="3"/>
      <c r="AG37" s="3"/>
      <c r="AH37" s="3"/>
      <c r="AI37" s="3"/>
      <c r="AJ37" s="3"/>
      <c r="AK37" s="3"/>
      <c r="AL37" s="3"/>
    </row>
    <row r="38" spans="1:38" x14ac:dyDescent="0.25">
      <c r="A38" s="136">
        <v>35</v>
      </c>
      <c r="B38" s="266"/>
      <c r="C38" s="257"/>
      <c r="D38" s="276"/>
      <c r="E38" s="6"/>
      <c r="F38" s="3"/>
      <c r="G38" s="148"/>
      <c r="H38" s="99"/>
      <c r="I38" s="3"/>
      <c r="J38" s="3"/>
      <c r="K38" s="3"/>
      <c r="L38" s="99"/>
      <c r="M38" s="3"/>
      <c r="N38" s="17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99"/>
      <c r="AD38" s="3"/>
      <c r="AE38" s="3"/>
      <c r="AF38" s="3"/>
      <c r="AG38" s="3"/>
      <c r="AH38" s="3"/>
      <c r="AI38" s="3"/>
      <c r="AJ38" s="3"/>
      <c r="AK38" s="3"/>
      <c r="AL38" s="3"/>
    </row>
    <row r="39" spans="1:38" x14ac:dyDescent="0.25">
      <c r="A39" s="136">
        <v>36</v>
      </c>
      <c r="B39" s="266"/>
      <c r="C39" s="257"/>
      <c r="D39" s="276"/>
      <c r="E39" s="6"/>
      <c r="F39" s="3"/>
      <c r="G39" s="148"/>
      <c r="H39" s="99"/>
      <c r="I39" s="3"/>
      <c r="J39" s="3"/>
      <c r="K39" s="3"/>
      <c r="L39" s="99"/>
      <c r="M39" s="3"/>
      <c r="N39" s="17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99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5">
      <c r="A40" s="136">
        <v>37</v>
      </c>
      <c r="B40" s="266"/>
      <c r="C40" s="257"/>
      <c r="D40" s="276"/>
      <c r="E40" s="6"/>
      <c r="F40" s="3"/>
      <c r="G40" s="148"/>
      <c r="H40" s="99"/>
      <c r="I40" s="3"/>
      <c r="J40" s="3"/>
      <c r="K40" s="3"/>
      <c r="L40" s="99"/>
      <c r="M40" s="3"/>
      <c r="N40" s="17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99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5">
      <c r="A41" s="136">
        <v>38</v>
      </c>
      <c r="B41" s="266"/>
      <c r="C41" s="257"/>
      <c r="D41" s="276"/>
      <c r="E41" s="6"/>
      <c r="F41" s="3"/>
      <c r="G41" s="148"/>
      <c r="H41" s="99"/>
      <c r="I41" s="3"/>
      <c r="J41" s="3"/>
      <c r="K41" s="3"/>
      <c r="L41" s="99"/>
      <c r="M41" s="3"/>
      <c r="N41" s="17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99"/>
      <c r="AD41" s="3"/>
      <c r="AE41" s="3"/>
      <c r="AF41" s="3"/>
      <c r="AG41" s="3"/>
      <c r="AH41" s="3"/>
      <c r="AI41" s="3"/>
      <c r="AJ41" s="3"/>
      <c r="AK41" s="3"/>
      <c r="AL41" s="3"/>
    </row>
    <row r="42" spans="1:38" x14ac:dyDescent="0.25">
      <c r="A42" s="136">
        <v>39</v>
      </c>
      <c r="B42" s="266"/>
      <c r="C42" s="257"/>
      <c r="D42" s="276"/>
      <c r="E42" s="6"/>
      <c r="F42" s="3"/>
      <c r="G42" s="148"/>
      <c r="H42" s="99"/>
      <c r="I42" s="3"/>
      <c r="J42" s="3"/>
      <c r="K42" s="3"/>
      <c r="L42" s="99"/>
      <c r="M42" s="3"/>
      <c r="N42" s="17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99"/>
      <c r="AD42" s="3"/>
      <c r="AE42" s="3"/>
      <c r="AF42" s="3"/>
      <c r="AG42" s="3"/>
      <c r="AH42" s="3"/>
      <c r="AI42" s="3"/>
      <c r="AJ42" s="3"/>
      <c r="AK42" s="3"/>
      <c r="AL42" s="3"/>
    </row>
    <row r="43" spans="1:38" x14ac:dyDescent="0.25">
      <c r="A43" s="136">
        <v>40</v>
      </c>
      <c r="B43" s="266"/>
      <c r="C43" s="257"/>
      <c r="D43" s="276"/>
      <c r="E43" s="6"/>
      <c r="F43" s="3"/>
      <c r="G43" s="148"/>
      <c r="H43" s="99"/>
      <c r="I43" s="3"/>
      <c r="J43" s="3"/>
      <c r="K43" s="3"/>
      <c r="L43" s="99"/>
      <c r="M43" s="3"/>
      <c r="N43" s="17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99"/>
      <c r="AD43" s="3"/>
      <c r="AE43" s="3"/>
      <c r="AF43" s="3"/>
      <c r="AG43" s="3"/>
      <c r="AH43" s="3"/>
      <c r="AI43" s="3"/>
      <c r="AJ43" s="3"/>
      <c r="AK43" s="3"/>
      <c r="AL43" s="3"/>
    </row>
    <row r="44" spans="1:38" x14ac:dyDescent="0.25">
      <c r="A44" s="136">
        <v>41</v>
      </c>
      <c r="B44" s="266"/>
      <c r="C44" s="257"/>
      <c r="D44" s="276"/>
      <c r="E44" s="6"/>
      <c r="F44" s="3"/>
      <c r="G44" s="148"/>
      <c r="H44" s="99"/>
      <c r="I44" s="3"/>
      <c r="J44" s="3"/>
      <c r="K44" s="3"/>
      <c r="L44" s="99"/>
      <c r="M44" s="3"/>
      <c r="N44" s="17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99"/>
      <c r="AD44" s="3"/>
      <c r="AE44" s="3"/>
      <c r="AF44" s="3"/>
      <c r="AG44" s="3"/>
      <c r="AH44" s="3"/>
      <c r="AI44" s="3"/>
      <c r="AJ44" s="3"/>
      <c r="AK44" s="3"/>
      <c r="AL44" s="3"/>
    </row>
    <row r="45" spans="1:38" x14ac:dyDescent="0.25">
      <c r="A45" s="136">
        <v>42</v>
      </c>
      <c r="B45" s="266"/>
      <c r="C45" s="257"/>
      <c r="D45" s="276"/>
      <c r="E45" s="6"/>
      <c r="F45" s="3"/>
      <c r="G45" s="148"/>
      <c r="H45" s="99"/>
      <c r="I45" s="3"/>
      <c r="J45" s="3"/>
      <c r="K45" s="3"/>
      <c r="L45" s="99"/>
      <c r="M45" s="3"/>
      <c r="N45" s="17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99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5">
      <c r="A46" s="136">
        <v>43</v>
      </c>
      <c r="B46" s="266"/>
      <c r="C46" s="257"/>
      <c r="D46" s="276"/>
      <c r="E46" s="6"/>
      <c r="F46" s="3"/>
      <c r="G46" s="148"/>
      <c r="H46" s="99"/>
      <c r="I46" s="3"/>
      <c r="J46" s="3"/>
      <c r="K46" s="3"/>
      <c r="L46" s="99"/>
      <c r="M46" s="3"/>
      <c r="N46" s="17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99"/>
      <c r="AD46" s="3"/>
      <c r="AE46" s="3"/>
      <c r="AF46" s="3"/>
      <c r="AG46" s="3"/>
      <c r="AH46" s="3"/>
      <c r="AI46" s="3"/>
      <c r="AJ46" s="3"/>
      <c r="AK46" s="3"/>
      <c r="AL46" s="3"/>
    </row>
    <row r="47" spans="1:38" x14ac:dyDescent="0.25">
      <c r="A47" s="136">
        <v>44</v>
      </c>
      <c r="B47" s="266"/>
      <c r="C47" s="257"/>
      <c r="D47" s="276"/>
      <c r="E47" s="6"/>
      <c r="F47" s="3"/>
      <c r="G47" s="148"/>
      <c r="H47" s="99"/>
      <c r="I47" s="3"/>
      <c r="J47" s="3"/>
      <c r="K47" s="3"/>
      <c r="L47" s="99"/>
      <c r="M47" s="3"/>
      <c r="N47" s="17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99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5">
      <c r="A48" s="136">
        <v>45</v>
      </c>
      <c r="B48" s="266"/>
      <c r="C48" s="257"/>
      <c r="D48" s="276"/>
      <c r="E48" s="6"/>
      <c r="F48" s="3"/>
      <c r="G48" s="148"/>
      <c r="H48" s="99"/>
      <c r="I48" s="3"/>
      <c r="J48" s="3"/>
      <c r="K48" s="3"/>
      <c r="L48" s="99"/>
      <c r="M48" s="3"/>
      <c r="N48" s="17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99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5">
      <c r="A49" s="136">
        <v>46</v>
      </c>
      <c r="B49" s="266"/>
      <c r="C49" s="257"/>
      <c r="D49" s="276"/>
      <c r="E49" s="6"/>
      <c r="F49" s="3"/>
      <c r="G49" s="148"/>
      <c r="H49" s="99"/>
      <c r="I49" s="3"/>
      <c r="J49" s="3"/>
      <c r="K49" s="3"/>
      <c r="L49" s="99"/>
      <c r="M49" s="3"/>
      <c r="N49" s="17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99"/>
      <c r="AD49" s="3"/>
      <c r="AE49" s="3"/>
      <c r="AF49" s="3"/>
      <c r="AG49" s="3"/>
      <c r="AH49" s="3"/>
      <c r="AI49" s="3"/>
      <c r="AJ49" s="3"/>
      <c r="AK49" s="3"/>
      <c r="AL49" s="3"/>
    </row>
    <row r="50" spans="1:38" x14ac:dyDescent="0.25">
      <c r="A50" s="136">
        <v>47</v>
      </c>
      <c r="B50" s="266"/>
      <c r="C50" s="257"/>
      <c r="D50" s="276"/>
      <c r="E50" s="6"/>
      <c r="F50" s="3"/>
      <c r="G50" s="148"/>
      <c r="H50" s="99"/>
      <c r="I50" s="3"/>
      <c r="J50" s="3"/>
      <c r="K50" s="3"/>
      <c r="L50" s="99"/>
      <c r="M50" s="3"/>
      <c r="N50" s="17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99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25">
      <c r="A51" s="136">
        <v>48</v>
      </c>
      <c r="B51" s="266"/>
      <c r="C51" s="257"/>
      <c r="D51" s="276"/>
      <c r="E51" s="6"/>
      <c r="F51" s="3"/>
      <c r="G51" s="148"/>
      <c r="H51" s="99"/>
      <c r="I51" s="3"/>
      <c r="J51" s="3"/>
      <c r="K51" s="3"/>
      <c r="L51" s="99"/>
      <c r="M51" s="3"/>
      <c r="N51" s="17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99"/>
      <c r="AD51" s="3"/>
      <c r="AE51" s="3"/>
      <c r="AF51" s="3"/>
      <c r="AG51" s="3"/>
      <c r="AH51" s="3"/>
      <c r="AI51" s="3"/>
      <c r="AJ51" s="3"/>
      <c r="AK51" s="3"/>
      <c r="AL51" s="3"/>
    </row>
    <row r="52" spans="1:38" x14ac:dyDescent="0.25">
      <c r="A52" s="136">
        <v>49</v>
      </c>
      <c r="B52" s="266"/>
      <c r="C52" s="257"/>
      <c r="D52" s="276"/>
      <c r="E52" s="6"/>
      <c r="F52" s="3"/>
      <c r="G52" s="148"/>
      <c r="H52" s="99"/>
      <c r="I52" s="3"/>
      <c r="J52" s="3"/>
      <c r="K52" s="3"/>
      <c r="L52" s="99"/>
      <c r="M52" s="3"/>
      <c r="N52" s="17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99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75" thickBot="1" x14ac:dyDescent="0.3">
      <c r="A53" s="169">
        <v>50</v>
      </c>
      <c r="B53" s="267"/>
      <c r="C53" s="258"/>
      <c r="D53" s="277"/>
      <c r="E53" s="7"/>
      <c r="F53" s="8"/>
      <c r="G53" s="149"/>
      <c r="H53" s="100"/>
      <c r="I53" s="8"/>
      <c r="J53" s="8"/>
      <c r="K53" s="8"/>
      <c r="L53" s="100"/>
      <c r="M53" s="3"/>
      <c r="N53" s="17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00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75" thickBot="1" x14ac:dyDescent="0.3">
      <c r="A54" s="73"/>
      <c r="B54" s="268"/>
      <c r="C54" s="259"/>
      <c r="D54" s="278"/>
      <c r="E54" s="73"/>
      <c r="F54" s="74"/>
      <c r="G54" s="74"/>
      <c r="H54" s="75"/>
      <c r="I54" s="73"/>
      <c r="J54" s="74"/>
      <c r="K54" s="74"/>
      <c r="L54" s="75"/>
      <c r="M54" s="73"/>
      <c r="N54" s="74"/>
      <c r="O54" s="75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6"/>
      <c r="AE54" s="77"/>
      <c r="AF54" s="77"/>
      <c r="AG54" s="77"/>
      <c r="AH54" s="77"/>
      <c r="AI54" s="77"/>
      <c r="AJ54" s="77"/>
      <c r="AK54" s="77"/>
    </row>
    <row r="55" spans="1:38" x14ac:dyDescent="0.25">
      <c r="A55" s="150" t="s">
        <v>62</v>
      </c>
      <c r="B55" s="269">
        <f>COUNTBLANK(Tabla1[Edat])</f>
        <v>50</v>
      </c>
      <c r="C55" s="260">
        <f>COUNTBLANK(Tabla1[Sexe])</f>
        <v>50</v>
      </c>
      <c r="D55" s="279">
        <f>COUNTBLANK(Tabla1[Ètnia])</f>
        <v>50</v>
      </c>
      <c r="E55" s="153">
        <f>COUNTBLANK(Tabla4[Eix])</f>
        <v>50</v>
      </c>
      <c r="F55" s="151">
        <f>COUNTBLANK(Tabla4[Cilindre])</f>
        <v>50</v>
      </c>
      <c r="G55" s="151">
        <f>COUNTBLANK(Tabla4[Esfera])</f>
        <v>50</v>
      </c>
      <c r="H55" s="152">
        <f>COUNTBLANK(Tabla4[DNP])</f>
        <v>50</v>
      </c>
      <c r="I55" s="153">
        <f>COUNTBLANK(Tabla5[Eix])</f>
        <v>50</v>
      </c>
      <c r="J55" s="151">
        <f>COUNTBLANK(Tabla5[Cilindre])</f>
        <v>50</v>
      </c>
      <c r="K55" s="151">
        <f>COUNTBLANK(Tabla5[Esfera])</f>
        <v>50</v>
      </c>
      <c r="L55" s="152">
        <f>COUNTBLANK(Tabla5[DNP])</f>
        <v>50</v>
      </c>
      <c r="M55" s="177">
        <f>COUNTBLANK(Tabla79[[Distància ]])</f>
        <v>50</v>
      </c>
      <c r="N55" s="193"/>
      <c r="O55" s="179">
        <f>COUNTBLANK(Tabla79[AV bino])</f>
        <v>50</v>
      </c>
      <c r="P55" s="153">
        <f>COUNTBLANK(Tabla9[Fabricant])</f>
        <v>50</v>
      </c>
      <c r="Q55" s="151">
        <f>COUNTBLANK(Tabla9[Material])</f>
        <v>50</v>
      </c>
      <c r="R55" s="151">
        <f>COUNTBLANK(Tabla9[[ n]])</f>
        <v>50</v>
      </c>
      <c r="S55" s="151">
        <f>COUNTBLANK(Tabla9[Superfície])</f>
        <v>50</v>
      </c>
      <c r="T55" s="151">
        <f>COUNTBLANK(Tabla9[Base])</f>
        <v>50</v>
      </c>
      <c r="U55" s="151">
        <f>COUNTBLANK(Tabla9[Æ])</f>
        <v>50</v>
      </c>
      <c r="V55" s="151">
        <f>COUNTBLANK(Tabla9[Precal.])</f>
        <v>50</v>
      </c>
      <c r="W55" s="151">
        <f>COUNTBLANK(Tabla9[AR])</f>
        <v>50</v>
      </c>
      <c r="X55" s="151">
        <f>COUNTBLANK(Tabla9[Endurit])</f>
        <v>50</v>
      </c>
      <c r="Y55" s="151">
        <f>COUNTBLANK(Tabla9[Hidròfob])</f>
        <v>50</v>
      </c>
      <c r="Z55" s="151">
        <f>COUNTBLANK(Tabla9[D])</f>
        <v>50</v>
      </c>
      <c r="AA55" s="151">
        <f>COUNTBLANK(Tabla9[Color])</f>
        <v>50</v>
      </c>
      <c r="AB55" s="151">
        <f>COUNTBLANK(Tabla9[Fotocròmic])</f>
        <v>50</v>
      </c>
      <c r="AC55" s="154">
        <f>COUNTBLANK(Tabla9[Filtre Blau])</f>
        <v>50</v>
      </c>
      <c r="AD55" s="155">
        <f>COUNTBLANK(Tabla10[Material])</f>
        <v>50</v>
      </c>
      <c r="AE55" s="156">
        <f>COUNTBLANK(Tabla10[L boxing])</f>
        <v>50</v>
      </c>
      <c r="AF55" s="156">
        <f>COUNTBLANK(Tabla10[p boxing])</f>
        <v>50</v>
      </c>
      <c r="AG55" s="156">
        <f>COUNTBLANK(Tabla10[l barnilla])</f>
        <v>50</v>
      </c>
      <c r="AH55" s="156">
        <f>COUNTBLANK(Tabla10[q pantoscòpic])</f>
        <v>50</v>
      </c>
      <c r="AI55" s="156">
        <f>COUNTBLANK(Tabla10[a facial])</f>
        <v>50</v>
      </c>
      <c r="AJ55" s="156">
        <f>COUNTBLANK(Tabla10[h cèrcol])</f>
        <v>50</v>
      </c>
      <c r="AK55" s="157">
        <f>COUNTBLANK(Tabla10[hp UD])</f>
        <v>50</v>
      </c>
      <c r="AL55" s="158">
        <f>COUNTBLANK(Tabla10[hp UE])</f>
        <v>50</v>
      </c>
    </row>
    <row r="56" spans="1:38" ht="15.75" thickBot="1" x14ac:dyDescent="0.3">
      <c r="A56" s="159" t="s">
        <v>63</v>
      </c>
      <c r="B56" s="270">
        <f t="shared" ref="B56:M56" si="0">50-B55</f>
        <v>0</v>
      </c>
      <c r="C56" s="261">
        <f t="shared" si="0"/>
        <v>0</v>
      </c>
      <c r="D56" s="280">
        <f t="shared" si="0"/>
        <v>0</v>
      </c>
      <c r="E56" s="162">
        <f t="shared" si="0"/>
        <v>0</v>
      </c>
      <c r="F56" s="160">
        <f t="shared" si="0"/>
        <v>0</v>
      </c>
      <c r="G56" s="160">
        <f t="shared" si="0"/>
        <v>0</v>
      </c>
      <c r="H56" s="161">
        <f t="shared" si="0"/>
        <v>0</v>
      </c>
      <c r="I56" s="162">
        <f t="shared" si="0"/>
        <v>0</v>
      </c>
      <c r="J56" s="160">
        <f t="shared" si="0"/>
        <v>0</v>
      </c>
      <c r="K56" s="160">
        <f t="shared" si="0"/>
        <v>0</v>
      </c>
      <c r="L56" s="161">
        <f t="shared" si="0"/>
        <v>0</v>
      </c>
      <c r="M56" s="178">
        <f t="shared" si="0"/>
        <v>0</v>
      </c>
      <c r="N56" s="194"/>
      <c r="O56" s="180">
        <f t="shared" ref="O56:AD56" si="1">50-O55</f>
        <v>0</v>
      </c>
      <c r="P56" s="162">
        <f t="shared" si="1"/>
        <v>0</v>
      </c>
      <c r="Q56" s="160">
        <f t="shared" si="1"/>
        <v>0</v>
      </c>
      <c r="R56" s="160">
        <f t="shared" si="1"/>
        <v>0</v>
      </c>
      <c r="S56" s="160">
        <f t="shared" si="1"/>
        <v>0</v>
      </c>
      <c r="T56" s="160">
        <f t="shared" si="1"/>
        <v>0</v>
      </c>
      <c r="U56" s="160">
        <f t="shared" si="1"/>
        <v>0</v>
      </c>
      <c r="V56" s="160">
        <f t="shared" si="1"/>
        <v>0</v>
      </c>
      <c r="W56" s="160">
        <f t="shared" si="1"/>
        <v>0</v>
      </c>
      <c r="X56" s="160">
        <f t="shared" si="1"/>
        <v>0</v>
      </c>
      <c r="Y56" s="160">
        <f t="shared" si="1"/>
        <v>0</v>
      </c>
      <c r="Z56" s="160">
        <f t="shared" si="1"/>
        <v>0</v>
      </c>
      <c r="AA56" s="160">
        <f t="shared" si="1"/>
        <v>0</v>
      </c>
      <c r="AB56" s="160">
        <f t="shared" si="1"/>
        <v>0</v>
      </c>
      <c r="AC56" s="163">
        <f t="shared" si="1"/>
        <v>0</v>
      </c>
      <c r="AD56" s="164">
        <f t="shared" si="1"/>
        <v>0</v>
      </c>
      <c r="AE56" s="165">
        <f t="shared" ref="AE56:AL56" si="2">50-AE55</f>
        <v>0</v>
      </c>
      <c r="AF56" s="165">
        <f t="shared" si="2"/>
        <v>0</v>
      </c>
      <c r="AG56" s="165">
        <f t="shared" si="2"/>
        <v>0</v>
      </c>
      <c r="AH56" s="165">
        <f t="shared" si="2"/>
        <v>0</v>
      </c>
      <c r="AI56" s="165">
        <f t="shared" si="2"/>
        <v>0</v>
      </c>
      <c r="AJ56" s="165">
        <f t="shared" si="2"/>
        <v>0</v>
      </c>
      <c r="AK56" s="166">
        <f t="shared" si="2"/>
        <v>0</v>
      </c>
      <c r="AL56" s="167">
        <f t="shared" si="2"/>
        <v>0</v>
      </c>
    </row>
    <row r="57" spans="1:38" ht="15.75" thickBot="1" x14ac:dyDescent="0.3">
      <c r="A57" s="182" t="s">
        <v>64</v>
      </c>
      <c r="B57" s="271">
        <f>B56*1/50</f>
        <v>0</v>
      </c>
      <c r="C57" s="262">
        <f>C56*1/50</f>
        <v>0</v>
      </c>
      <c r="D57" s="281">
        <f t="shared" ref="D57:AA57" si="3">D56*1/50</f>
        <v>0</v>
      </c>
      <c r="E57" s="185">
        <f t="shared" si="3"/>
        <v>0</v>
      </c>
      <c r="F57" s="183">
        <f t="shared" si="3"/>
        <v>0</v>
      </c>
      <c r="G57" s="183">
        <f t="shared" si="3"/>
        <v>0</v>
      </c>
      <c r="H57" s="184">
        <f t="shared" si="3"/>
        <v>0</v>
      </c>
      <c r="I57" s="185">
        <f t="shared" si="3"/>
        <v>0</v>
      </c>
      <c r="J57" s="183">
        <f t="shared" si="3"/>
        <v>0</v>
      </c>
      <c r="K57" s="183">
        <f t="shared" si="3"/>
        <v>0</v>
      </c>
      <c r="L57" s="184">
        <f t="shared" si="3"/>
        <v>0</v>
      </c>
      <c r="M57" s="186">
        <f t="shared" si="3"/>
        <v>0</v>
      </c>
      <c r="N57" s="195"/>
      <c r="O57" s="187">
        <f t="shared" si="3"/>
        <v>0</v>
      </c>
      <c r="P57" s="185">
        <f t="shared" si="3"/>
        <v>0</v>
      </c>
      <c r="Q57" s="183">
        <f t="shared" si="3"/>
        <v>0</v>
      </c>
      <c r="R57" s="183">
        <f t="shared" si="3"/>
        <v>0</v>
      </c>
      <c r="S57" s="183">
        <f t="shared" si="3"/>
        <v>0</v>
      </c>
      <c r="T57" s="183">
        <f t="shared" si="3"/>
        <v>0</v>
      </c>
      <c r="U57" s="183">
        <f t="shared" si="3"/>
        <v>0</v>
      </c>
      <c r="V57" s="183">
        <f t="shared" si="3"/>
        <v>0</v>
      </c>
      <c r="W57" s="183">
        <f t="shared" si="3"/>
        <v>0</v>
      </c>
      <c r="X57" s="183">
        <f t="shared" si="3"/>
        <v>0</v>
      </c>
      <c r="Y57" s="183">
        <f t="shared" si="3"/>
        <v>0</v>
      </c>
      <c r="Z57" s="183">
        <f t="shared" si="3"/>
        <v>0</v>
      </c>
      <c r="AA57" s="183">
        <f t="shared" si="3"/>
        <v>0</v>
      </c>
      <c r="AB57" s="183">
        <f>AB56*1/50</f>
        <v>0</v>
      </c>
      <c r="AC57" s="188">
        <f>AC56*1/50</f>
        <v>0</v>
      </c>
      <c r="AD57" s="189">
        <f>AD56*1/50</f>
        <v>0</v>
      </c>
      <c r="AE57" s="190">
        <f t="shared" ref="AE57:AK57" si="4">AE56*1/50</f>
        <v>0</v>
      </c>
      <c r="AF57" s="190">
        <f t="shared" si="4"/>
        <v>0</v>
      </c>
      <c r="AG57" s="190">
        <f t="shared" si="4"/>
        <v>0</v>
      </c>
      <c r="AH57" s="190">
        <f t="shared" si="4"/>
        <v>0</v>
      </c>
      <c r="AI57" s="190">
        <f t="shared" si="4"/>
        <v>0</v>
      </c>
      <c r="AJ57" s="190">
        <f t="shared" si="4"/>
        <v>0</v>
      </c>
      <c r="AK57" s="191">
        <f t="shared" si="4"/>
        <v>0</v>
      </c>
      <c r="AL57" s="192">
        <f>AL56*1/50</f>
        <v>0</v>
      </c>
    </row>
    <row r="58" spans="1:38" x14ac:dyDescent="0.25">
      <c r="A58" s="40"/>
      <c r="B58" s="272"/>
      <c r="C58" s="263"/>
      <c r="D58" s="26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</sheetData>
  <sheetProtection selectLockedCells="1" autoFilter="0"/>
  <mergeCells count="6">
    <mergeCell ref="AD1:AL2"/>
    <mergeCell ref="P1:AC2"/>
    <mergeCell ref="A1:D2"/>
    <mergeCell ref="E2:H2"/>
    <mergeCell ref="I2:L2"/>
    <mergeCell ref="E1:L1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00000000-0002-0000-0000-000000000000}">
          <x14:formula1>
            <xm:f>CRITERIS!$A$3:$A$104</xm:f>
          </x14:formula1>
          <xm:sqref>B4:B53</xm:sqref>
        </x14:dataValidation>
        <x14:dataValidation type="list" allowBlank="1" showInputMessage="1" showErrorMessage="1" xr:uid="{00000000-0002-0000-0000-000001000000}">
          <x14:formula1>
            <xm:f>CRITERIS!$B$3:$B$5</xm:f>
          </x14:formula1>
          <xm:sqref>C4:C53</xm:sqref>
        </x14:dataValidation>
        <x14:dataValidation type="list" allowBlank="1" showInputMessage="1" showErrorMessage="1" xr:uid="{00000000-0002-0000-0000-000002000000}">
          <x14:formula1>
            <xm:f>CRITERIS!$C$3:$C$8</xm:f>
          </x14:formula1>
          <xm:sqref>D4:D53</xm:sqref>
        </x14:dataValidation>
        <x14:dataValidation type="list" allowBlank="1" showInputMessage="1" showErrorMessage="1" xr:uid="{00000000-0002-0000-0000-000003000000}">
          <x14:formula1>
            <xm:f>CRITERIS!$E$3:$E$27</xm:f>
          </x14:formula1>
          <xm:sqref>J4:J53 F4:F53</xm:sqref>
        </x14:dataValidation>
        <x14:dataValidation type="list" allowBlank="1" showInputMessage="1" showErrorMessage="1" xr:uid="{00000000-0002-0000-0000-000004000000}">
          <x14:formula1>
            <xm:f>CRITERIS!$D$3:$D$182</xm:f>
          </x14:formula1>
          <xm:sqref>E4:E53 I4:I53</xm:sqref>
        </x14:dataValidation>
        <x14:dataValidation type="list" allowBlank="1" showInputMessage="1" showErrorMessage="1" xr:uid="{00000000-0002-0000-0000-000005000000}">
          <x14:formula1>
            <xm:f>CRITERIS!$F$3:$F$164</xm:f>
          </x14:formula1>
          <xm:sqref>G4:G53 K4:K53</xm:sqref>
        </x14:dataValidation>
        <x14:dataValidation type="list" allowBlank="1" showInputMessage="1" showErrorMessage="1" xr:uid="{00000000-0002-0000-0000-000006000000}">
          <x14:formula1>
            <xm:f>CRITERIS!$G$3:$G$45</xm:f>
          </x14:formula1>
          <xm:sqref>H4:H53 L4:L53</xm:sqref>
        </x14:dataValidation>
        <x14:dataValidation type="list" allowBlank="1" showInputMessage="1" showErrorMessage="1" xr:uid="{00000000-0002-0000-0000-000007000000}">
          <x14:formula1>
            <xm:f>CRITERIS!$I$3:$I$4</xm:f>
          </x14:formula1>
          <xm:sqref>M4:M53</xm:sqref>
        </x14:dataValidation>
        <x14:dataValidation type="list" allowBlank="1" showInputMessage="1" showErrorMessage="1" xr:uid="{00000000-0002-0000-0000-000008000000}">
          <x14:formula1>
            <xm:f>CRITERIS!$K$3:$K$12</xm:f>
          </x14:formula1>
          <xm:sqref>P4:P53</xm:sqref>
        </x14:dataValidation>
        <x14:dataValidation type="list" allowBlank="1" showInputMessage="1" showErrorMessage="1" xr:uid="{00000000-0002-0000-0000-000009000000}">
          <x14:formula1>
            <xm:f>CRITERIS!$M$3:$M$5</xm:f>
          </x14:formula1>
          <xm:sqref>Q4:Q53</xm:sqref>
        </x14:dataValidation>
        <x14:dataValidation type="list" allowBlank="1" showInputMessage="1" showErrorMessage="1" xr:uid="{00000000-0002-0000-0000-00000A000000}">
          <x14:formula1>
            <xm:f>CRITERIS!$N$3:$N$7</xm:f>
          </x14:formula1>
          <xm:sqref>R4:R53</xm:sqref>
        </x14:dataValidation>
        <x14:dataValidation type="list" allowBlank="1" showInputMessage="1" showErrorMessage="1" xr:uid="{00000000-0002-0000-0000-00000B000000}">
          <x14:formula1>
            <xm:f>CRITERIS!$O$3:$O$5</xm:f>
          </x14:formula1>
          <xm:sqref>S4:S53</xm:sqref>
        </x14:dataValidation>
        <x14:dataValidation type="list" allowBlank="1" showInputMessage="1" showErrorMessage="1" xr:uid="{00000000-0002-0000-0000-00000C000000}">
          <x14:formula1>
            <xm:f>CRITERIS!$Q$3:$Q$10</xm:f>
          </x14:formula1>
          <xm:sqref>U4:U53</xm:sqref>
        </x14:dataValidation>
        <x14:dataValidation type="list" allowBlank="1" showInputMessage="1" showErrorMessage="1" xr:uid="{00000000-0002-0000-0000-00000D000000}">
          <x14:formula1>
            <xm:f>CRITERIS!$R$3:$R$4</xm:f>
          </x14:formula1>
          <xm:sqref>V4:AC53</xm:sqref>
        </x14:dataValidation>
        <x14:dataValidation type="list" allowBlank="1" showInputMessage="1" showErrorMessage="1" xr:uid="{00000000-0002-0000-0000-00000E000000}">
          <x14:formula1>
            <xm:f>CRITERIS!$P$3:$P$24</xm:f>
          </x14:formula1>
          <xm:sqref>T4:T53</xm:sqref>
        </x14:dataValidation>
        <x14:dataValidation type="list" allowBlank="1" showInputMessage="1" showErrorMessage="1" xr:uid="{00000000-0002-0000-0000-00000F000000}">
          <x14:formula1>
            <xm:f>CRITERIS!$S$3:$S$6</xm:f>
          </x14:formula1>
          <xm:sqref>AD4:AD53</xm:sqref>
        </x14:dataValidation>
        <x14:dataValidation type="list" allowBlank="1" showInputMessage="1" showErrorMessage="1" xr:uid="{00000000-0002-0000-0000-000010000000}">
          <x14:formula1>
            <xm:f>CRITERIS!$T$3:$T$30</xm:f>
          </x14:formula1>
          <xm:sqref>AE4:AE53</xm:sqref>
        </x14:dataValidation>
        <x14:dataValidation type="list" allowBlank="1" showInputMessage="1" showErrorMessage="1" xr:uid="{00000000-0002-0000-0000-000011000000}">
          <x14:formula1>
            <xm:f>CRITERIS!$U$3:$U$20</xm:f>
          </x14:formula1>
          <xm:sqref>AF4:AF53</xm:sqref>
        </x14:dataValidation>
        <x14:dataValidation type="list" allowBlank="1" showInputMessage="1" showErrorMessage="1" xr:uid="{00000000-0002-0000-0000-000012000000}">
          <x14:formula1>
            <xm:f>CRITERIS!$V$3:$V$13</xm:f>
          </x14:formula1>
          <xm:sqref>AG4:AG53</xm:sqref>
        </x14:dataValidation>
        <x14:dataValidation type="list" allowBlank="1" showInputMessage="1" showErrorMessage="1" xr:uid="{00000000-0002-0000-0000-000013000000}">
          <x14:formula1>
            <xm:f>CRITERIS!$W$3:$W$15</xm:f>
          </x14:formula1>
          <xm:sqref>AH4:AH53</xm:sqref>
        </x14:dataValidation>
        <x14:dataValidation type="list" allowBlank="1" showInputMessage="1" showErrorMessage="1" xr:uid="{00000000-0002-0000-0000-000014000000}">
          <x14:formula1>
            <xm:f>CRITERIS!$X$3:$X$30</xm:f>
          </x14:formula1>
          <xm:sqref>AI4:AI53</xm:sqref>
        </x14:dataValidation>
        <x14:dataValidation type="list" allowBlank="1" showInputMessage="1" showErrorMessage="1" xr:uid="{00000000-0002-0000-0000-000015000000}">
          <x14:formula1>
            <xm:f>CRITERIS!$Y$3:$Y$35</xm:f>
          </x14:formula1>
          <xm:sqref>AJ4:AJ53</xm:sqref>
        </x14:dataValidation>
        <x14:dataValidation type="list" allowBlank="1" showInputMessage="1" showErrorMessage="1" xr:uid="{00000000-0002-0000-0000-000016000000}">
          <x14:formula1>
            <xm:f>CRITERIS!$Z$3:$Z$35</xm:f>
          </x14:formula1>
          <xm:sqref>AK4:AL53</xm:sqref>
        </x14:dataValidation>
        <x14:dataValidation type="list" allowBlank="1" showInputMessage="1" showErrorMessage="1" xr:uid="{00000000-0002-0000-0000-000017000000}">
          <x14:formula1>
            <xm:f>CRITERIS!$J$3:$J$15</xm:f>
          </x14:formula1>
          <xm:sqref>O4:O53</xm:sqref>
        </x14:dataValidation>
        <x14:dataValidation type="list" allowBlank="1" showInputMessage="1" showErrorMessage="1" xr:uid="{00000000-0002-0000-0000-000018000000}">
          <x14:formula1>
            <xm:f>CRITERIS!$H$3:$H$14</xm:f>
          </x14:formula1>
          <xm:sqref>N4:N53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D57"/>
  <sheetViews>
    <sheetView zoomScaleNormal="100" workbookViewId="0">
      <selection activeCell="S5" sqref="S5"/>
    </sheetView>
  </sheetViews>
  <sheetFormatPr baseColWidth="10" defaultRowHeight="15" x14ac:dyDescent="0.25"/>
  <cols>
    <col min="1" max="1" width="7.42578125" customWidth="1"/>
    <col min="2" max="2" width="6.7109375" customWidth="1"/>
    <col min="3" max="3" width="10.7109375" customWidth="1"/>
    <col min="4" max="4" width="8.7109375" customWidth="1"/>
    <col min="5" max="5" width="7.7109375" customWidth="1"/>
    <col min="6" max="6" width="5.7109375" customWidth="1"/>
    <col min="7" max="7" width="6.7109375" customWidth="1"/>
    <col min="8" max="8" width="7.7109375" customWidth="1"/>
    <col min="9" max="9" width="5.7109375" customWidth="1"/>
    <col min="10" max="10" width="6.7109375" customWidth="1"/>
    <col min="11" max="11" width="10.7109375" customWidth="1"/>
    <col min="12" max="12" width="8.7109375" customWidth="1"/>
    <col min="13" max="13" width="7.7109375" customWidth="1"/>
    <col min="14" max="14" width="6.85546875" customWidth="1"/>
    <col min="15" max="15" width="6.7109375" customWidth="1"/>
    <col min="16" max="16" width="7.7109375" customWidth="1"/>
    <col min="17" max="17" width="5.7109375" customWidth="1"/>
    <col min="18" max="18" width="15.5703125" customWidth="1"/>
    <col min="19" max="19" width="46.7109375" customWidth="1"/>
  </cols>
  <sheetData>
    <row r="1" spans="1:30" ht="15" customHeight="1" thickBot="1" x14ac:dyDescent="0.3">
      <c r="A1" s="101"/>
      <c r="B1" s="230" t="s">
        <v>11</v>
      </c>
      <c r="C1" s="231"/>
      <c r="D1" s="231"/>
      <c r="E1" s="231"/>
      <c r="F1" s="231"/>
      <c r="G1" s="231"/>
      <c r="H1" s="231"/>
      <c r="I1" s="231"/>
      <c r="J1" s="227" t="s">
        <v>10</v>
      </c>
      <c r="K1" s="228"/>
      <c r="L1" s="228"/>
      <c r="M1" s="228"/>
      <c r="N1" s="228"/>
      <c r="O1" s="228"/>
      <c r="P1" s="228"/>
      <c r="Q1" s="228"/>
      <c r="R1" s="220" t="s">
        <v>107</v>
      </c>
      <c r="S1" s="222" t="s">
        <v>108</v>
      </c>
      <c r="T1" s="40"/>
      <c r="U1" s="40"/>
      <c r="V1" s="40"/>
      <c r="W1" s="40"/>
    </row>
    <row r="2" spans="1:30" ht="15.75" customHeight="1" thickBot="1" x14ac:dyDescent="0.3">
      <c r="A2" s="102"/>
      <c r="B2" s="212"/>
      <c r="C2" s="213"/>
      <c r="D2" s="213"/>
      <c r="E2" s="213"/>
      <c r="F2" s="214"/>
      <c r="G2" s="232" t="s">
        <v>101</v>
      </c>
      <c r="H2" s="233"/>
      <c r="I2" s="234"/>
      <c r="J2" s="227"/>
      <c r="K2" s="228"/>
      <c r="L2" s="228"/>
      <c r="M2" s="228"/>
      <c r="N2" s="229"/>
      <c r="O2" s="224" t="s">
        <v>101</v>
      </c>
      <c r="P2" s="225"/>
      <c r="Q2" s="226"/>
      <c r="R2" s="221"/>
      <c r="S2" s="223"/>
      <c r="T2" s="40"/>
      <c r="U2" s="40"/>
      <c r="V2" s="40"/>
      <c r="W2" s="40"/>
    </row>
    <row r="3" spans="1:30" ht="15.75" customHeight="1" thickBot="1" x14ac:dyDescent="0.3">
      <c r="A3" s="103" t="s">
        <v>18</v>
      </c>
      <c r="B3" s="58" t="s">
        <v>22</v>
      </c>
      <c r="C3" s="59" t="s">
        <v>23</v>
      </c>
      <c r="D3" s="59" t="s">
        <v>24</v>
      </c>
      <c r="E3" s="59" t="s">
        <v>13</v>
      </c>
      <c r="F3" s="59" t="s">
        <v>104</v>
      </c>
      <c r="G3" s="104" t="s">
        <v>22</v>
      </c>
      <c r="H3" s="105" t="s">
        <v>102</v>
      </c>
      <c r="I3" s="105" t="s">
        <v>103</v>
      </c>
      <c r="J3" s="54" t="s">
        <v>22</v>
      </c>
      <c r="K3" s="56" t="s">
        <v>23</v>
      </c>
      <c r="L3" s="56" t="s">
        <v>24</v>
      </c>
      <c r="M3" s="56" t="s">
        <v>13</v>
      </c>
      <c r="N3" s="57" t="s">
        <v>104</v>
      </c>
      <c r="O3" s="104" t="s">
        <v>22</v>
      </c>
      <c r="P3" s="105" t="s">
        <v>102</v>
      </c>
      <c r="Q3" s="106" t="s">
        <v>103</v>
      </c>
      <c r="R3" s="104" t="s">
        <v>109</v>
      </c>
      <c r="S3" s="107" t="s">
        <v>119</v>
      </c>
      <c r="T3" s="40"/>
      <c r="U3" s="40"/>
      <c r="V3" s="40"/>
      <c r="W3" s="40"/>
      <c r="Y3" s="40"/>
      <c r="Z3" s="40"/>
      <c r="AA3" s="40"/>
      <c r="AB3" s="40"/>
      <c r="AC3" s="40"/>
      <c r="AD3" s="40"/>
    </row>
    <row r="4" spans="1:30" x14ac:dyDescent="0.25">
      <c r="A4" s="137">
        <v>1</v>
      </c>
      <c r="B4" s="68">
        <f>Tabla4[[#This Row],[Eix]]</f>
        <v>0</v>
      </c>
      <c r="C4" s="69">
        <f>Tabla4[[#This Row],[Cilindre]]</f>
        <v>0</v>
      </c>
      <c r="D4" s="69">
        <f>Tabla4[[#This Row],[Esfera]]+Tabla79[[#This Row],[Adició]]</f>
        <v>0</v>
      </c>
      <c r="E4" s="69">
        <f>Tabla4[[#This Row],[DNP]]</f>
        <v>0</v>
      </c>
      <c r="F4" s="69">
        <f>Tabla10[[#This Row],[hp UD]]</f>
        <v>0</v>
      </c>
      <c r="G4" s="120"/>
      <c r="H4" s="121"/>
      <c r="I4" s="121"/>
      <c r="J4" s="67">
        <f>Tabla5[[#This Row],[Eix]]</f>
        <v>0</v>
      </c>
      <c r="K4" s="67">
        <f>Tabla5[[#This Row],[Cilindre]]</f>
        <v>0</v>
      </c>
      <c r="L4" s="67">
        <f>Tabla5[[#This Row],[Esfera]]</f>
        <v>0</v>
      </c>
      <c r="M4" s="67">
        <f>Tabla5[[#This Row],[DNP]]</f>
        <v>0</v>
      </c>
      <c r="N4" s="67">
        <f>Tabla10[[#This Row],[hp UE]]</f>
        <v>0</v>
      </c>
      <c r="O4" s="120"/>
      <c r="P4" s="121"/>
      <c r="Q4" s="128"/>
      <c r="R4" s="123"/>
      <c r="S4" s="129"/>
      <c r="T4" s="40"/>
      <c r="U4" s="40"/>
      <c r="V4" s="40"/>
      <c r="W4" s="40"/>
      <c r="Y4" s="40"/>
      <c r="Z4" s="40"/>
      <c r="AA4" s="40"/>
      <c r="AB4" s="40"/>
      <c r="AC4" s="40"/>
      <c r="AD4" s="40"/>
    </row>
    <row r="5" spans="1:30" x14ac:dyDescent="0.25">
      <c r="A5" s="138">
        <v>2</v>
      </c>
      <c r="B5" s="70">
        <f>Tabla4[[#This Row],[Eix]]</f>
        <v>0</v>
      </c>
      <c r="C5" s="67">
        <f>Tabla4[[#This Row],[Cilindre]]</f>
        <v>0</v>
      </c>
      <c r="D5" s="67">
        <f>Tabla4[[#This Row],[Esfera]]+Tabla79[[#This Row],[Adició]]</f>
        <v>0</v>
      </c>
      <c r="E5" s="67">
        <f>Tabla4[[#This Row],[DNP]]</f>
        <v>0</v>
      </c>
      <c r="F5" s="67">
        <f>Tabla10[[#This Row],[hp UD]]</f>
        <v>0</v>
      </c>
      <c r="G5" s="122"/>
      <c r="H5" s="123"/>
      <c r="I5" s="124"/>
      <c r="J5" s="67">
        <f>Tabla5[[#This Row],[Eix]]</f>
        <v>0</v>
      </c>
      <c r="K5" s="67">
        <f>Tabla5[[#This Row],[Cilindre]]</f>
        <v>0</v>
      </c>
      <c r="L5" s="67">
        <f>Tabla5[[#This Row],[Esfera]]</f>
        <v>0</v>
      </c>
      <c r="M5" s="67">
        <f>Tabla5[[#This Row],[DNP]]</f>
        <v>0</v>
      </c>
      <c r="N5" s="67">
        <f>Tabla10[[#This Row],[hp UE]]</f>
        <v>0</v>
      </c>
      <c r="O5" s="122"/>
      <c r="P5" s="123"/>
      <c r="Q5" s="124"/>
      <c r="R5" s="123"/>
      <c r="S5" s="129"/>
      <c r="T5" s="40"/>
      <c r="U5" s="40"/>
      <c r="V5" s="40"/>
      <c r="W5" s="40"/>
      <c r="Y5" s="40"/>
      <c r="Z5" s="40"/>
      <c r="AA5" s="40"/>
      <c r="AB5" s="40"/>
      <c r="AC5" s="40"/>
      <c r="AD5" s="40"/>
    </row>
    <row r="6" spans="1:30" x14ac:dyDescent="0.25">
      <c r="A6" s="139">
        <v>3</v>
      </c>
      <c r="B6" s="70">
        <f>Tabla4[[#This Row],[Eix]]</f>
        <v>0</v>
      </c>
      <c r="C6" s="67">
        <f>Tabla4[[#This Row],[Cilindre]]</f>
        <v>0</v>
      </c>
      <c r="D6" s="67">
        <f>Tabla4[[#This Row],[Esfera]]+Tabla79[[#This Row],[Adició]]</f>
        <v>0</v>
      </c>
      <c r="E6" s="67">
        <f>Tabla4[[#This Row],[DNP]]</f>
        <v>0</v>
      </c>
      <c r="F6" s="67">
        <f>Tabla10[[#This Row],[hp UD]]</f>
        <v>0</v>
      </c>
      <c r="G6" s="122"/>
      <c r="H6" s="123"/>
      <c r="I6" s="124"/>
      <c r="J6" s="67">
        <f>Tabla5[[#This Row],[Eix]]</f>
        <v>0</v>
      </c>
      <c r="K6" s="67">
        <f>Tabla5[[#This Row],[Cilindre]]</f>
        <v>0</v>
      </c>
      <c r="L6" s="67">
        <f>Tabla5[[#This Row],[Esfera]]</f>
        <v>0</v>
      </c>
      <c r="M6" s="67">
        <f>Tabla5[[#This Row],[DNP]]</f>
        <v>0</v>
      </c>
      <c r="N6" s="67">
        <f>Tabla10[[#This Row],[hp UE]]</f>
        <v>0</v>
      </c>
      <c r="O6" s="122"/>
      <c r="P6" s="123"/>
      <c r="Q6" s="124"/>
      <c r="R6" s="123"/>
      <c r="S6" s="129"/>
      <c r="T6" s="40"/>
      <c r="U6" s="40"/>
      <c r="V6" s="40"/>
      <c r="W6" s="40"/>
      <c r="Y6" s="40"/>
      <c r="Z6" s="40"/>
      <c r="AA6" s="40"/>
      <c r="AB6" s="40"/>
      <c r="AC6" s="40"/>
      <c r="AD6" s="40"/>
    </row>
    <row r="7" spans="1:30" x14ac:dyDescent="0.25">
      <c r="A7" s="138">
        <v>4</v>
      </c>
      <c r="B7" s="70">
        <f>Tabla4[[#This Row],[Eix]]</f>
        <v>0</v>
      </c>
      <c r="C7" s="67">
        <f>Tabla4[[#This Row],[Cilindre]]</f>
        <v>0</v>
      </c>
      <c r="D7" s="67">
        <f>Tabla4[[#This Row],[Esfera]]+Tabla79[[#This Row],[Adició]]</f>
        <v>0</v>
      </c>
      <c r="E7" s="67">
        <f>Tabla4[[#This Row],[DNP]]</f>
        <v>0</v>
      </c>
      <c r="F7" s="67">
        <f>Tabla10[[#This Row],[hp UD]]</f>
        <v>0</v>
      </c>
      <c r="G7" s="122"/>
      <c r="H7" s="123"/>
      <c r="I7" s="124"/>
      <c r="J7" s="67">
        <f>Tabla5[[#This Row],[Eix]]</f>
        <v>0</v>
      </c>
      <c r="K7" s="67">
        <f>Tabla5[[#This Row],[Cilindre]]</f>
        <v>0</v>
      </c>
      <c r="L7" s="67">
        <f>Tabla5[[#This Row],[Esfera]]</f>
        <v>0</v>
      </c>
      <c r="M7" s="67">
        <f>Tabla5[[#This Row],[DNP]]</f>
        <v>0</v>
      </c>
      <c r="N7" s="67">
        <f>Tabla10[[#This Row],[hp UE]]</f>
        <v>0</v>
      </c>
      <c r="O7" s="122"/>
      <c r="P7" s="123"/>
      <c r="Q7" s="124"/>
      <c r="R7" s="123"/>
      <c r="S7" s="129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0" x14ac:dyDescent="0.25">
      <c r="A8" s="139">
        <v>5</v>
      </c>
      <c r="B8" s="70">
        <f>Tabla4[[#This Row],[Eix]]</f>
        <v>0</v>
      </c>
      <c r="C8" s="67">
        <f>Tabla4[[#This Row],[Cilindre]]</f>
        <v>0</v>
      </c>
      <c r="D8" s="67">
        <f>Tabla4[[#This Row],[Esfera]]+Tabla79[[#This Row],[Adició]]</f>
        <v>0</v>
      </c>
      <c r="E8" s="67">
        <f>Tabla4[[#This Row],[DNP]]</f>
        <v>0</v>
      </c>
      <c r="F8" s="67">
        <f>Tabla10[[#This Row],[hp UD]]</f>
        <v>0</v>
      </c>
      <c r="G8" s="122"/>
      <c r="H8" s="123"/>
      <c r="I8" s="124"/>
      <c r="J8" s="67">
        <f>Tabla5[[#This Row],[Eix]]</f>
        <v>0</v>
      </c>
      <c r="K8" s="67">
        <f>Tabla5[[#This Row],[Cilindre]]</f>
        <v>0</v>
      </c>
      <c r="L8" s="67">
        <f>Tabla5[[#This Row],[Esfera]]</f>
        <v>0</v>
      </c>
      <c r="M8" s="67">
        <f>Tabla5[[#This Row],[DNP]]</f>
        <v>0</v>
      </c>
      <c r="N8" s="67">
        <f>Tabla10[[#This Row],[hp UE]]</f>
        <v>0</v>
      </c>
      <c r="O8" s="122"/>
      <c r="P8" s="123"/>
      <c r="Q8" s="124"/>
      <c r="R8" s="123"/>
      <c r="S8" s="129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1:30" x14ac:dyDescent="0.25">
      <c r="A9" s="138">
        <v>6</v>
      </c>
      <c r="B9" s="70">
        <f>Tabla4[[#This Row],[Eix]]</f>
        <v>0</v>
      </c>
      <c r="C9" s="67">
        <f>Tabla4[[#This Row],[Cilindre]]</f>
        <v>0</v>
      </c>
      <c r="D9" s="67">
        <f>Tabla4[[#This Row],[Esfera]]+Tabla79[[#This Row],[Adició]]</f>
        <v>0</v>
      </c>
      <c r="E9" s="67">
        <f>Tabla4[[#This Row],[DNP]]</f>
        <v>0</v>
      </c>
      <c r="F9" s="67">
        <f>Tabla10[[#This Row],[hp UD]]</f>
        <v>0</v>
      </c>
      <c r="G9" s="122"/>
      <c r="H9" s="123"/>
      <c r="I9" s="124"/>
      <c r="J9" s="67">
        <f>Tabla5[[#This Row],[Eix]]</f>
        <v>0</v>
      </c>
      <c r="K9" s="67">
        <f>Tabla5[[#This Row],[Cilindre]]</f>
        <v>0</v>
      </c>
      <c r="L9" s="67">
        <f>Tabla5[[#This Row],[Esfera]]</f>
        <v>0</v>
      </c>
      <c r="M9" s="67">
        <f>Tabla5[[#This Row],[DNP]]</f>
        <v>0</v>
      </c>
      <c r="N9" s="67">
        <f>Tabla10[[#This Row],[hp UE]]</f>
        <v>0</v>
      </c>
      <c r="O9" s="122"/>
      <c r="P9" s="123"/>
      <c r="Q9" s="124"/>
      <c r="R9" s="123"/>
      <c r="S9" s="129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x14ac:dyDescent="0.25">
      <c r="A10" s="139">
        <v>7</v>
      </c>
      <c r="B10" s="70">
        <f>Tabla4[[#This Row],[Eix]]</f>
        <v>0</v>
      </c>
      <c r="C10" s="67">
        <f>Tabla4[[#This Row],[Cilindre]]</f>
        <v>0</v>
      </c>
      <c r="D10" s="67">
        <f>Tabla4[[#This Row],[Esfera]]+Tabla79[[#This Row],[Adició]]</f>
        <v>0</v>
      </c>
      <c r="E10" s="67">
        <f>Tabla4[[#This Row],[DNP]]</f>
        <v>0</v>
      </c>
      <c r="F10" s="67">
        <f>Tabla10[[#This Row],[hp UD]]</f>
        <v>0</v>
      </c>
      <c r="G10" s="122"/>
      <c r="H10" s="123"/>
      <c r="I10" s="124"/>
      <c r="J10" s="67">
        <f>Tabla5[[#This Row],[Eix]]</f>
        <v>0</v>
      </c>
      <c r="K10" s="67">
        <f>Tabla5[[#This Row],[Cilindre]]</f>
        <v>0</v>
      </c>
      <c r="L10" s="67">
        <f>Tabla5[[#This Row],[Esfera]]</f>
        <v>0</v>
      </c>
      <c r="M10" s="67">
        <f>Tabla5[[#This Row],[DNP]]</f>
        <v>0</v>
      </c>
      <c r="N10" s="67">
        <f>Tabla10[[#This Row],[hp UE]]</f>
        <v>0</v>
      </c>
      <c r="O10" s="122"/>
      <c r="P10" s="123"/>
      <c r="Q10" s="124"/>
      <c r="R10" s="123"/>
      <c r="S10" s="129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 x14ac:dyDescent="0.25">
      <c r="A11" s="138">
        <v>8</v>
      </c>
      <c r="B11" s="70">
        <f>Tabla4[[#This Row],[Eix]]</f>
        <v>0</v>
      </c>
      <c r="C11" s="67">
        <f>Tabla4[[#This Row],[Cilindre]]</f>
        <v>0</v>
      </c>
      <c r="D11" s="67">
        <f>Tabla4[[#This Row],[Esfera]]+Tabla79[[#This Row],[Adició]]</f>
        <v>0</v>
      </c>
      <c r="E11" s="67">
        <f>Tabla4[[#This Row],[DNP]]</f>
        <v>0</v>
      </c>
      <c r="F11" s="67">
        <f>Tabla10[[#This Row],[hp UD]]</f>
        <v>0</v>
      </c>
      <c r="G11" s="122"/>
      <c r="H11" s="123"/>
      <c r="I11" s="124"/>
      <c r="J11" s="67">
        <f>Tabla5[[#This Row],[Eix]]</f>
        <v>0</v>
      </c>
      <c r="K11" s="67">
        <f>Tabla5[[#This Row],[Cilindre]]</f>
        <v>0</v>
      </c>
      <c r="L11" s="67">
        <f>Tabla5[[#This Row],[Esfera]]</f>
        <v>0</v>
      </c>
      <c r="M11" s="67">
        <f>Tabla5[[#This Row],[DNP]]</f>
        <v>0</v>
      </c>
      <c r="N11" s="67">
        <f>Tabla10[[#This Row],[hp UE]]</f>
        <v>0</v>
      </c>
      <c r="O11" s="122"/>
      <c r="P11" s="123"/>
      <c r="Q11" s="124"/>
      <c r="R11" s="123"/>
      <c r="S11" s="129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x14ac:dyDescent="0.25">
      <c r="A12" s="139">
        <v>9</v>
      </c>
      <c r="B12" s="70">
        <f>Tabla4[[#This Row],[Eix]]</f>
        <v>0</v>
      </c>
      <c r="C12" s="67">
        <f>Tabla4[[#This Row],[Cilindre]]</f>
        <v>0</v>
      </c>
      <c r="D12" s="67">
        <f>Tabla4[[#This Row],[Esfera]]+Tabla79[[#This Row],[Adició]]</f>
        <v>0</v>
      </c>
      <c r="E12" s="67">
        <f>Tabla4[[#This Row],[DNP]]</f>
        <v>0</v>
      </c>
      <c r="F12" s="67">
        <f>Tabla10[[#This Row],[hp UD]]</f>
        <v>0</v>
      </c>
      <c r="G12" s="122"/>
      <c r="H12" s="123"/>
      <c r="I12" s="124"/>
      <c r="J12" s="67">
        <f>Tabla5[[#This Row],[Eix]]</f>
        <v>0</v>
      </c>
      <c r="K12" s="67">
        <f>Tabla5[[#This Row],[Cilindre]]</f>
        <v>0</v>
      </c>
      <c r="L12" s="67">
        <f>Tabla5[[#This Row],[Esfera]]</f>
        <v>0</v>
      </c>
      <c r="M12" s="67">
        <f>Tabla5[[#This Row],[DNP]]</f>
        <v>0</v>
      </c>
      <c r="N12" s="67">
        <f>Tabla10[[#This Row],[hp UE]]</f>
        <v>0</v>
      </c>
      <c r="O12" s="122"/>
      <c r="P12" s="123"/>
      <c r="Q12" s="124"/>
      <c r="R12" s="123"/>
      <c r="S12" s="129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x14ac:dyDescent="0.25">
      <c r="A13" s="138">
        <v>10</v>
      </c>
      <c r="B13" s="70">
        <f>Tabla4[[#This Row],[Eix]]</f>
        <v>0</v>
      </c>
      <c r="C13" s="67">
        <f>Tabla4[[#This Row],[Cilindre]]</f>
        <v>0</v>
      </c>
      <c r="D13" s="67">
        <f>Tabla4[[#This Row],[Esfera]]+Tabla79[[#This Row],[Adició]]</f>
        <v>0</v>
      </c>
      <c r="E13" s="67">
        <f>Tabla4[[#This Row],[DNP]]</f>
        <v>0</v>
      </c>
      <c r="F13" s="67">
        <f>Tabla10[[#This Row],[hp UD]]</f>
        <v>0</v>
      </c>
      <c r="G13" s="122"/>
      <c r="H13" s="123"/>
      <c r="I13" s="124"/>
      <c r="J13" s="67">
        <f>Tabla5[[#This Row],[Eix]]</f>
        <v>0</v>
      </c>
      <c r="K13" s="67">
        <f>Tabla5[[#This Row],[Cilindre]]</f>
        <v>0</v>
      </c>
      <c r="L13" s="67">
        <f>Tabla5[[#This Row],[Esfera]]</f>
        <v>0</v>
      </c>
      <c r="M13" s="67">
        <f>Tabla5[[#This Row],[DNP]]</f>
        <v>0</v>
      </c>
      <c r="N13" s="67">
        <f>Tabla10[[#This Row],[hp UE]]</f>
        <v>0</v>
      </c>
      <c r="O13" s="122"/>
      <c r="P13" s="123"/>
      <c r="Q13" s="124"/>
      <c r="R13" s="123"/>
      <c r="S13" s="129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x14ac:dyDescent="0.25">
      <c r="A14" s="139">
        <v>11</v>
      </c>
      <c r="B14" s="70">
        <f>Tabla4[[#This Row],[Eix]]</f>
        <v>0</v>
      </c>
      <c r="C14" s="67">
        <f>Tabla4[[#This Row],[Cilindre]]</f>
        <v>0</v>
      </c>
      <c r="D14" s="67">
        <f>Tabla4[[#This Row],[Esfera]]+Tabla79[[#This Row],[Adició]]</f>
        <v>0</v>
      </c>
      <c r="E14" s="67">
        <f>Tabla4[[#This Row],[DNP]]</f>
        <v>0</v>
      </c>
      <c r="F14" s="67">
        <f>Tabla10[[#This Row],[hp UD]]</f>
        <v>0</v>
      </c>
      <c r="G14" s="122"/>
      <c r="H14" s="123"/>
      <c r="I14" s="124"/>
      <c r="J14" s="67">
        <f>Tabla5[[#This Row],[Eix]]</f>
        <v>0</v>
      </c>
      <c r="K14" s="67">
        <f>Tabla5[[#This Row],[Cilindre]]</f>
        <v>0</v>
      </c>
      <c r="L14" s="67">
        <f>Tabla5[[#This Row],[Esfera]]</f>
        <v>0</v>
      </c>
      <c r="M14" s="67">
        <f>Tabla5[[#This Row],[DNP]]</f>
        <v>0</v>
      </c>
      <c r="N14" s="67">
        <f>Tabla10[[#This Row],[hp UE]]</f>
        <v>0</v>
      </c>
      <c r="O14" s="122"/>
      <c r="P14" s="123"/>
      <c r="Q14" s="124"/>
      <c r="R14" s="123"/>
      <c r="S14" s="12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x14ac:dyDescent="0.25">
      <c r="A15" s="138">
        <v>12</v>
      </c>
      <c r="B15" s="70">
        <f>Tabla4[[#This Row],[Eix]]</f>
        <v>0</v>
      </c>
      <c r="C15" s="67">
        <f>Tabla4[[#This Row],[Cilindre]]</f>
        <v>0</v>
      </c>
      <c r="D15" s="67">
        <f>Tabla4[[#This Row],[Esfera]]+Tabla79[[#This Row],[Adició]]</f>
        <v>0</v>
      </c>
      <c r="E15" s="67">
        <f>Tabla4[[#This Row],[DNP]]</f>
        <v>0</v>
      </c>
      <c r="F15" s="67">
        <f>Tabla10[[#This Row],[hp UD]]</f>
        <v>0</v>
      </c>
      <c r="G15" s="122"/>
      <c r="H15" s="123"/>
      <c r="I15" s="124"/>
      <c r="J15" s="67">
        <f>Tabla5[[#This Row],[Eix]]</f>
        <v>0</v>
      </c>
      <c r="K15" s="67">
        <f>Tabla5[[#This Row],[Cilindre]]</f>
        <v>0</v>
      </c>
      <c r="L15" s="67">
        <f>Tabla5[[#This Row],[Esfera]]</f>
        <v>0</v>
      </c>
      <c r="M15" s="67">
        <f>Tabla5[[#This Row],[DNP]]</f>
        <v>0</v>
      </c>
      <c r="N15" s="67">
        <f>Tabla10[[#This Row],[hp UE]]</f>
        <v>0</v>
      </c>
      <c r="O15" s="122"/>
      <c r="P15" s="123"/>
      <c r="Q15" s="124"/>
      <c r="R15" s="123"/>
      <c r="S15" s="129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x14ac:dyDescent="0.25">
      <c r="A16" s="139">
        <v>13</v>
      </c>
      <c r="B16" s="70">
        <f>Tabla4[[#This Row],[Eix]]</f>
        <v>0</v>
      </c>
      <c r="C16" s="67">
        <f>Tabla4[[#This Row],[Cilindre]]</f>
        <v>0</v>
      </c>
      <c r="D16" s="67">
        <f>Tabla4[[#This Row],[Esfera]]+Tabla79[[#This Row],[Adició]]</f>
        <v>0</v>
      </c>
      <c r="E16" s="67">
        <f>Tabla4[[#This Row],[DNP]]</f>
        <v>0</v>
      </c>
      <c r="F16" s="67">
        <f>Tabla10[[#This Row],[hp UD]]</f>
        <v>0</v>
      </c>
      <c r="G16" s="122"/>
      <c r="H16" s="123"/>
      <c r="I16" s="124"/>
      <c r="J16" s="67">
        <f>Tabla5[[#This Row],[Eix]]</f>
        <v>0</v>
      </c>
      <c r="K16" s="67">
        <f>Tabla5[[#This Row],[Cilindre]]</f>
        <v>0</v>
      </c>
      <c r="L16" s="67">
        <f>Tabla5[[#This Row],[Esfera]]</f>
        <v>0</v>
      </c>
      <c r="M16" s="67">
        <f>Tabla5[[#This Row],[DNP]]</f>
        <v>0</v>
      </c>
      <c r="N16" s="67">
        <f>Tabla10[[#This Row],[hp UE]]</f>
        <v>0</v>
      </c>
      <c r="O16" s="122"/>
      <c r="P16" s="123"/>
      <c r="Q16" s="124"/>
      <c r="R16" s="123"/>
      <c r="S16" s="12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x14ac:dyDescent="0.25">
      <c r="A17" s="138">
        <v>14</v>
      </c>
      <c r="B17" s="70">
        <f>Tabla4[[#This Row],[Eix]]</f>
        <v>0</v>
      </c>
      <c r="C17" s="67">
        <f>Tabla4[[#This Row],[Cilindre]]</f>
        <v>0</v>
      </c>
      <c r="D17" s="67">
        <f>Tabla4[[#This Row],[Esfera]]+Tabla79[[#This Row],[Adició]]</f>
        <v>0</v>
      </c>
      <c r="E17" s="67">
        <f>Tabla4[[#This Row],[DNP]]</f>
        <v>0</v>
      </c>
      <c r="F17" s="67">
        <f>Tabla10[[#This Row],[hp UD]]</f>
        <v>0</v>
      </c>
      <c r="G17" s="122"/>
      <c r="H17" s="123"/>
      <c r="I17" s="124"/>
      <c r="J17" s="67">
        <f>Tabla5[[#This Row],[Eix]]</f>
        <v>0</v>
      </c>
      <c r="K17" s="67">
        <f>Tabla5[[#This Row],[Cilindre]]</f>
        <v>0</v>
      </c>
      <c r="L17" s="67">
        <f>Tabla5[[#This Row],[Esfera]]</f>
        <v>0</v>
      </c>
      <c r="M17" s="67">
        <f>Tabla5[[#This Row],[DNP]]</f>
        <v>0</v>
      </c>
      <c r="N17" s="67">
        <f>Tabla10[[#This Row],[hp UE]]</f>
        <v>0</v>
      </c>
      <c r="O17" s="122"/>
      <c r="P17" s="123"/>
      <c r="Q17" s="124"/>
      <c r="R17" s="123"/>
      <c r="S17" s="129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x14ac:dyDescent="0.25">
      <c r="A18" s="139">
        <v>15</v>
      </c>
      <c r="B18" s="70">
        <f>Tabla4[[#This Row],[Eix]]</f>
        <v>0</v>
      </c>
      <c r="C18" s="67">
        <f>Tabla4[[#This Row],[Cilindre]]</f>
        <v>0</v>
      </c>
      <c r="D18" s="67">
        <f>Tabla4[[#This Row],[Esfera]]+Tabla79[[#This Row],[Adició]]</f>
        <v>0</v>
      </c>
      <c r="E18" s="67">
        <f>Tabla4[[#This Row],[DNP]]</f>
        <v>0</v>
      </c>
      <c r="F18" s="67">
        <f>Tabla10[[#This Row],[hp UD]]</f>
        <v>0</v>
      </c>
      <c r="G18" s="122"/>
      <c r="H18" s="123"/>
      <c r="I18" s="124"/>
      <c r="J18" s="67">
        <f>Tabla5[[#This Row],[Eix]]</f>
        <v>0</v>
      </c>
      <c r="K18" s="67">
        <f>Tabla5[[#This Row],[Cilindre]]</f>
        <v>0</v>
      </c>
      <c r="L18" s="67">
        <f>Tabla5[[#This Row],[Esfera]]</f>
        <v>0</v>
      </c>
      <c r="M18" s="67">
        <f>Tabla5[[#This Row],[DNP]]</f>
        <v>0</v>
      </c>
      <c r="N18" s="67">
        <f>Tabla10[[#This Row],[hp UE]]</f>
        <v>0</v>
      </c>
      <c r="O18" s="122"/>
      <c r="P18" s="123"/>
      <c r="Q18" s="124"/>
      <c r="R18" s="123"/>
      <c r="S18" s="12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x14ac:dyDescent="0.25">
      <c r="A19" s="138">
        <v>16</v>
      </c>
      <c r="B19" s="70">
        <f>Tabla4[[#This Row],[Eix]]</f>
        <v>0</v>
      </c>
      <c r="C19" s="67">
        <f>Tabla4[[#This Row],[Cilindre]]</f>
        <v>0</v>
      </c>
      <c r="D19" s="67">
        <f>Tabla4[[#This Row],[Esfera]]+Tabla79[[#This Row],[Adició]]</f>
        <v>0</v>
      </c>
      <c r="E19" s="67">
        <f>Tabla4[[#This Row],[DNP]]</f>
        <v>0</v>
      </c>
      <c r="F19" s="67">
        <f>Tabla10[[#This Row],[hp UD]]</f>
        <v>0</v>
      </c>
      <c r="G19" s="122"/>
      <c r="H19" s="123"/>
      <c r="I19" s="124"/>
      <c r="J19" s="67">
        <f>Tabla5[[#This Row],[Eix]]</f>
        <v>0</v>
      </c>
      <c r="K19" s="67">
        <f>Tabla5[[#This Row],[Cilindre]]</f>
        <v>0</v>
      </c>
      <c r="L19" s="67">
        <f>Tabla5[[#This Row],[Esfera]]</f>
        <v>0</v>
      </c>
      <c r="M19" s="67">
        <f>Tabla5[[#This Row],[DNP]]</f>
        <v>0</v>
      </c>
      <c r="N19" s="67">
        <f>Tabla10[[#This Row],[hp UE]]</f>
        <v>0</v>
      </c>
      <c r="O19" s="122"/>
      <c r="P19" s="123"/>
      <c r="Q19" s="124"/>
      <c r="R19" s="123"/>
      <c r="S19" s="129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x14ac:dyDescent="0.25">
      <c r="A20" s="139">
        <v>17</v>
      </c>
      <c r="B20" s="70">
        <f>Tabla4[[#This Row],[Eix]]</f>
        <v>0</v>
      </c>
      <c r="C20" s="67">
        <f>Tabla4[[#This Row],[Cilindre]]</f>
        <v>0</v>
      </c>
      <c r="D20" s="67">
        <f>Tabla4[[#This Row],[Esfera]]+Tabla79[[#This Row],[Adició]]</f>
        <v>0</v>
      </c>
      <c r="E20" s="67">
        <f>Tabla4[[#This Row],[DNP]]</f>
        <v>0</v>
      </c>
      <c r="F20" s="67">
        <f>Tabla10[[#This Row],[hp UD]]</f>
        <v>0</v>
      </c>
      <c r="G20" s="122"/>
      <c r="H20" s="123"/>
      <c r="I20" s="124"/>
      <c r="J20" s="67">
        <f>Tabla5[[#This Row],[Eix]]</f>
        <v>0</v>
      </c>
      <c r="K20" s="67">
        <f>Tabla5[[#This Row],[Cilindre]]</f>
        <v>0</v>
      </c>
      <c r="L20" s="67">
        <f>Tabla5[[#This Row],[Esfera]]</f>
        <v>0</v>
      </c>
      <c r="M20" s="67">
        <f>Tabla5[[#This Row],[DNP]]</f>
        <v>0</v>
      </c>
      <c r="N20" s="67">
        <f>Tabla10[[#This Row],[hp UE]]</f>
        <v>0</v>
      </c>
      <c r="O20" s="122"/>
      <c r="P20" s="123"/>
      <c r="Q20" s="124"/>
      <c r="R20" s="123"/>
      <c r="S20" s="129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x14ac:dyDescent="0.25">
      <c r="A21" s="138">
        <v>18</v>
      </c>
      <c r="B21" s="70">
        <f>Tabla4[[#This Row],[Eix]]</f>
        <v>0</v>
      </c>
      <c r="C21" s="67">
        <f>Tabla4[[#This Row],[Cilindre]]</f>
        <v>0</v>
      </c>
      <c r="D21" s="67">
        <f>Tabla4[[#This Row],[Esfera]]+Tabla79[[#This Row],[Adició]]</f>
        <v>0</v>
      </c>
      <c r="E21" s="67">
        <f>Tabla4[[#This Row],[DNP]]</f>
        <v>0</v>
      </c>
      <c r="F21" s="67">
        <f>Tabla10[[#This Row],[hp UD]]</f>
        <v>0</v>
      </c>
      <c r="G21" s="122"/>
      <c r="H21" s="123"/>
      <c r="I21" s="124"/>
      <c r="J21" s="67">
        <f>Tabla5[[#This Row],[Eix]]</f>
        <v>0</v>
      </c>
      <c r="K21" s="67">
        <f>Tabla5[[#This Row],[Cilindre]]</f>
        <v>0</v>
      </c>
      <c r="L21" s="67">
        <f>Tabla5[[#This Row],[Esfera]]</f>
        <v>0</v>
      </c>
      <c r="M21" s="67">
        <f>Tabla5[[#This Row],[DNP]]</f>
        <v>0</v>
      </c>
      <c r="N21" s="67">
        <f>Tabla10[[#This Row],[hp UE]]</f>
        <v>0</v>
      </c>
      <c r="O21" s="122"/>
      <c r="P21" s="123"/>
      <c r="Q21" s="124"/>
      <c r="R21" s="123"/>
      <c r="S21" s="129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x14ac:dyDescent="0.25">
      <c r="A22" s="139">
        <v>19</v>
      </c>
      <c r="B22" s="70">
        <f>Tabla4[[#This Row],[Eix]]</f>
        <v>0</v>
      </c>
      <c r="C22" s="67">
        <f>Tabla4[[#This Row],[Cilindre]]</f>
        <v>0</v>
      </c>
      <c r="D22" s="67">
        <f>Tabla4[[#This Row],[Esfera]]+Tabla79[[#This Row],[Adició]]</f>
        <v>0</v>
      </c>
      <c r="E22" s="67">
        <f>Tabla4[[#This Row],[DNP]]</f>
        <v>0</v>
      </c>
      <c r="F22" s="67">
        <f>Tabla10[[#This Row],[hp UD]]</f>
        <v>0</v>
      </c>
      <c r="G22" s="122"/>
      <c r="H22" s="123"/>
      <c r="I22" s="124"/>
      <c r="J22" s="67">
        <f>Tabla5[[#This Row],[Eix]]</f>
        <v>0</v>
      </c>
      <c r="K22" s="67">
        <f>Tabla5[[#This Row],[Cilindre]]</f>
        <v>0</v>
      </c>
      <c r="L22" s="67">
        <f>Tabla5[[#This Row],[Esfera]]</f>
        <v>0</v>
      </c>
      <c r="M22" s="67">
        <f>Tabla5[[#This Row],[DNP]]</f>
        <v>0</v>
      </c>
      <c r="N22" s="67">
        <f>Tabla10[[#This Row],[hp UE]]</f>
        <v>0</v>
      </c>
      <c r="O22" s="122"/>
      <c r="P22" s="123"/>
      <c r="Q22" s="124"/>
      <c r="R22" s="123"/>
      <c r="S22" s="129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x14ac:dyDescent="0.25">
      <c r="A23" s="138">
        <v>20</v>
      </c>
      <c r="B23" s="70">
        <f>Tabla4[[#This Row],[Eix]]</f>
        <v>0</v>
      </c>
      <c r="C23" s="67">
        <f>Tabla4[[#This Row],[Cilindre]]</f>
        <v>0</v>
      </c>
      <c r="D23" s="67">
        <f>Tabla4[[#This Row],[Esfera]]+Tabla79[[#This Row],[Adició]]</f>
        <v>0</v>
      </c>
      <c r="E23" s="67">
        <f>Tabla4[[#This Row],[DNP]]</f>
        <v>0</v>
      </c>
      <c r="F23" s="67">
        <f>Tabla10[[#This Row],[hp UD]]</f>
        <v>0</v>
      </c>
      <c r="G23" s="122"/>
      <c r="H23" s="123"/>
      <c r="I23" s="124"/>
      <c r="J23" s="67">
        <f>Tabla5[[#This Row],[Eix]]</f>
        <v>0</v>
      </c>
      <c r="K23" s="67">
        <f>Tabla5[[#This Row],[Cilindre]]</f>
        <v>0</v>
      </c>
      <c r="L23" s="67">
        <f>Tabla5[[#This Row],[Esfera]]</f>
        <v>0</v>
      </c>
      <c r="M23" s="67">
        <f>Tabla5[[#This Row],[DNP]]</f>
        <v>0</v>
      </c>
      <c r="N23" s="67">
        <f>Tabla10[[#This Row],[hp UE]]</f>
        <v>0</v>
      </c>
      <c r="O23" s="122"/>
      <c r="P23" s="123"/>
      <c r="Q23" s="124"/>
      <c r="R23" s="123"/>
      <c r="S23" s="129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x14ac:dyDescent="0.25">
      <c r="A24" s="139">
        <v>21</v>
      </c>
      <c r="B24" s="70">
        <f>Tabla4[[#This Row],[Eix]]</f>
        <v>0</v>
      </c>
      <c r="C24" s="67">
        <f>Tabla4[[#This Row],[Cilindre]]</f>
        <v>0</v>
      </c>
      <c r="D24" s="67">
        <f>Tabla4[[#This Row],[Esfera]]+Tabla79[[#This Row],[Adició]]</f>
        <v>0</v>
      </c>
      <c r="E24" s="67">
        <f>Tabla4[[#This Row],[DNP]]</f>
        <v>0</v>
      </c>
      <c r="F24" s="67">
        <f>Tabla10[[#This Row],[hp UD]]</f>
        <v>0</v>
      </c>
      <c r="G24" s="122"/>
      <c r="H24" s="123"/>
      <c r="I24" s="124"/>
      <c r="J24" s="67">
        <f>Tabla5[[#This Row],[Eix]]</f>
        <v>0</v>
      </c>
      <c r="K24" s="67">
        <f>Tabla5[[#This Row],[Cilindre]]</f>
        <v>0</v>
      </c>
      <c r="L24" s="67">
        <f>Tabla5[[#This Row],[Esfera]]</f>
        <v>0</v>
      </c>
      <c r="M24" s="67">
        <f>Tabla5[[#This Row],[DNP]]</f>
        <v>0</v>
      </c>
      <c r="N24" s="67">
        <f>Tabla10[[#This Row],[hp UE]]</f>
        <v>0</v>
      </c>
      <c r="O24" s="122"/>
      <c r="P24" s="123"/>
      <c r="Q24" s="124"/>
      <c r="R24" s="123"/>
      <c r="S24" s="129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x14ac:dyDescent="0.25">
      <c r="A25" s="138">
        <v>22</v>
      </c>
      <c r="B25" s="70">
        <f>Tabla4[[#This Row],[Eix]]</f>
        <v>0</v>
      </c>
      <c r="C25" s="67">
        <f>Tabla4[[#This Row],[Cilindre]]</f>
        <v>0</v>
      </c>
      <c r="D25" s="67">
        <f>Tabla4[[#This Row],[Esfera]]+Tabla79[[#This Row],[Adició]]</f>
        <v>0</v>
      </c>
      <c r="E25" s="67">
        <f>Tabla4[[#This Row],[DNP]]</f>
        <v>0</v>
      </c>
      <c r="F25" s="67">
        <f>Tabla10[[#This Row],[hp UD]]</f>
        <v>0</v>
      </c>
      <c r="G25" s="122"/>
      <c r="H25" s="123"/>
      <c r="I25" s="124"/>
      <c r="J25" s="67">
        <f>Tabla5[[#This Row],[Eix]]</f>
        <v>0</v>
      </c>
      <c r="K25" s="67">
        <f>Tabla5[[#This Row],[Cilindre]]</f>
        <v>0</v>
      </c>
      <c r="L25" s="67">
        <f>Tabla5[[#This Row],[Esfera]]</f>
        <v>0</v>
      </c>
      <c r="M25" s="67">
        <f>Tabla5[[#This Row],[DNP]]</f>
        <v>0</v>
      </c>
      <c r="N25" s="67">
        <f>Tabla10[[#This Row],[hp UE]]</f>
        <v>0</v>
      </c>
      <c r="O25" s="122"/>
      <c r="P25" s="123"/>
      <c r="Q25" s="124"/>
      <c r="R25" s="123"/>
      <c r="S25" s="129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x14ac:dyDescent="0.25">
      <c r="A26" s="139">
        <v>23</v>
      </c>
      <c r="B26" s="70">
        <f>Tabla4[[#This Row],[Eix]]</f>
        <v>0</v>
      </c>
      <c r="C26" s="67">
        <f>Tabla4[[#This Row],[Cilindre]]</f>
        <v>0</v>
      </c>
      <c r="D26" s="67">
        <f>Tabla4[[#This Row],[Esfera]]+Tabla79[[#This Row],[Adició]]</f>
        <v>0</v>
      </c>
      <c r="E26" s="67">
        <f>Tabla4[[#This Row],[DNP]]</f>
        <v>0</v>
      </c>
      <c r="F26" s="67">
        <f>Tabla10[[#This Row],[hp UD]]</f>
        <v>0</v>
      </c>
      <c r="G26" s="122"/>
      <c r="H26" s="123"/>
      <c r="I26" s="124"/>
      <c r="J26" s="67">
        <f>Tabla5[[#This Row],[Eix]]</f>
        <v>0</v>
      </c>
      <c r="K26" s="67">
        <f>Tabla5[[#This Row],[Cilindre]]</f>
        <v>0</v>
      </c>
      <c r="L26" s="67">
        <f>Tabla5[[#This Row],[Esfera]]</f>
        <v>0</v>
      </c>
      <c r="M26" s="67">
        <f>Tabla5[[#This Row],[DNP]]</f>
        <v>0</v>
      </c>
      <c r="N26" s="67">
        <f>Tabla10[[#This Row],[hp UE]]</f>
        <v>0</v>
      </c>
      <c r="O26" s="122"/>
      <c r="P26" s="123"/>
      <c r="Q26" s="124"/>
      <c r="R26" s="123"/>
      <c r="S26" s="129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x14ac:dyDescent="0.25">
      <c r="A27" s="138">
        <v>24</v>
      </c>
      <c r="B27" s="70">
        <f>Tabla4[[#This Row],[Eix]]</f>
        <v>0</v>
      </c>
      <c r="C27" s="67">
        <f>Tabla4[[#This Row],[Cilindre]]</f>
        <v>0</v>
      </c>
      <c r="D27" s="67">
        <f>Tabla4[[#This Row],[Esfera]]+Tabla79[[#This Row],[Adició]]</f>
        <v>0</v>
      </c>
      <c r="E27" s="67">
        <f>Tabla4[[#This Row],[DNP]]</f>
        <v>0</v>
      </c>
      <c r="F27" s="67">
        <f>Tabla10[[#This Row],[hp UD]]</f>
        <v>0</v>
      </c>
      <c r="G27" s="122"/>
      <c r="H27" s="123"/>
      <c r="I27" s="124"/>
      <c r="J27" s="67">
        <f>Tabla5[[#This Row],[Eix]]</f>
        <v>0</v>
      </c>
      <c r="K27" s="67">
        <f>Tabla5[[#This Row],[Cilindre]]</f>
        <v>0</v>
      </c>
      <c r="L27" s="67">
        <f>Tabla5[[#This Row],[Esfera]]</f>
        <v>0</v>
      </c>
      <c r="M27" s="67">
        <f>Tabla5[[#This Row],[DNP]]</f>
        <v>0</v>
      </c>
      <c r="N27" s="67">
        <f>Tabla10[[#This Row],[hp UE]]</f>
        <v>0</v>
      </c>
      <c r="O27" s="122"/>
      <c r="P27" s="123"/>
      <c r="Q27" s="124"/>
      <c r="R27" s="123"/>
      <c r="S27" s="129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x14ac:dyDescent="0.25">
      <c r="A28" s="139">
        <v>25</v>
      </c>
      <c r="B28" s="70">
        <f>Tabla4[[#This Row],[Eix]]</f>
        <v>0</v>
      </c>
      <c r="C28" s="67">
        <f>Tabla4[[#This Row],[Cilindre]]</f>
        <v>0</v>
      </c>
      <c r="D28" s="67">
        <f>Tabla4[[#This Row],[Esfera]]+Tabla79[[#This Row],[Adició]]</f>
        <v>0</v>
      </c>
      <c r="E28" s="67">
        <f>Tabla4[[#This Row],[DNP]]</f>
        <v>0</v>
      </c>
      <c r="F28" s="67">
        <f>Tabla10[[#This Row],[hp UD]]</f>
        <v>0</v>
      </c>
      <c r="G28" s="122"/>
      <c r="H28" s="123"/>
      <c r="I28" s="124"/>
      <c r="J28" s="67">
        <f>Tabla5[[#This Row],[Eix]]</f>
        <v>0</v>
      </c>
      <c r="K28" s="67">
        <f>Tabla5[[#This Row],[Cilindre]]</f>
        <v>0</v>
      </c>
      <c r="L28" s="67">
        <f>Tabla5[[#This Row],[Esfera]]</f>
        <v>0</v>
      </c>
      <c r="M28" s="67">
        <f>Tabla5[[#This Row],[DNP]]</f>
        <v>0</v>
      </c>
      <c r="N28" s="67">
        <f>Tabla10[[#This Row],[hp UE]]</f>
        <v>0</v>
      </c>
      <c r="O28" s="122"/>
      <c r="P28" s="123"/>
      <c r="Q28" s="124"/>
      <c r="R28" s="123"/>
      <c r="S28" s="12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x14ac:dyDescent="0.25">
      <c r="A29" s="138">
        <v>26</v>
      </c>
      <c r="B29" s="70">
        <f>Tabla4[[#This Row],[Eix]]</f>
        <v>0</v>
      </c>
      <c r="C29" s="67">
        <f>Tabla4[[#This Row],[Cilindre]]</f>
        <v>0</v>
      </c>
      <c r="D29" s="67">
        <f>Tabla4[[#This Row],[Esfera]]+Tabla79[[#This Row],[Adició]]</f>
        <v>0</v>
      </c>
      <c r="E29" s="67">
        <f>Tabla4[[#This Row],[DNP]]</f>
        <v>0</v>
      </c>
      <c r="F29" s="67">
        <f>Tabla10[[#This Row],[hp UD]]</f>
        <v>0</v>
      </c>
      <c r="G29" s="122"/>
      <c r="H29" s="123"/>
      <c r="I29" s="124"/>
      <c r="J29" s="67">
        <f>Tabla5[[#This Row],[Eix]]</f>
        <v>0</v>
      </c>
      <c r="K29" s="67">
        <f>Tabla5[[#This Row],[Cilindre]]</f>
        <v>0</v>
      </c>
      <c r="L29" s="67">
        <f>Tabla5[[#This Row],[Esfera]]</f>
        <v>0</v>
      </c>
      <c r="M29" s="67">
        <f>Tabla5[[#This Row],[DNP]]</f>
        <v>0</v>
      </c>
      <c r="N29" s="67">
        <f>Tabla10[[#This Row],[hp UE]]</f>
        <v>0</v>
      </c>
      <c r="O29" s="122"/>
      <c r="P29" s="123"/>
      <c r="Q29" s="124"/>
      <c r="R29" s="123"/>
      <c r="S29" s="129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x14ac:dyDescent="0.25">
      <c r="A30" s="139">
        <v>27</v>
      </c>
      <c r="B30" s="70">
        <f>Tabla4[[#This Row],[Eix]]</f>
        <v>0</v>
      </c>
      <c r="C30" s="67">
        <f>Tabla4[[#This Row],[Cilindre]]</f>
        <v>0</v>
      </c>
      <c r="D30" s="67">
        <f>Tabla4[[#This Row],[Esfera]]+Tabla79[[#This Row],[Adició]]</f>
        <v>0</v>
      </c>
      <c r="E30" s="67">
        <f>Tabla4[[#This Row],[DNP]]</f>
        <v>0</v>
      </c>
      <c r="F30" s="67">
        <f>Tabla10[[#This Row],[hp UD]]</f>
        <v>0</v>
      </c>
      <c r="G30" s="122"/>
      <c r="H30" s="123"/>
      <c r="I30" s="124"/>
      <c r="J30" s="67">
        <f>Tabla5[[#This Row],[Eix]]</f>
        <v>0</v>
      </c>
      <c r="K30" s="67">
        <f>Tabla5[[#This Row],[Cilindre]]</f>
        <v>0</v>
      </c>
      <c r="L30" s="67">
        <f>Tabla5[[#This Row],[Esfera]]</f>
        <v>0</v>
      </c>
      <c r="M30" s="67">
        <f>Tabla5[[#This Row],[DNP]]</f>
        <v>0</v>
      </c>
      <c r="N30" s="67">
        <f>Tabla10[[#This Row],[hp UE]]</f>
        <v>0</v>
      </c>
      <c r="O30" s="122"/>
      <c r="P30" s="123"/>
      <c r="Q30" s="124"/>
      <c r="R30" s="123"/>
      <c r="S30" s="129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x14ac:dyDescent="0.25">
      <c r="A31" s="138">
        <v>28</v>
      </c>
      <c r="B31" s="70">
        <f>Tabla4[[#This Row],[Eix]]</f>
        <v>0</v>
      </c>
      <c r="C31" s="67">
        <f>Tabla4[[#This Row],[Cilindre]]</f>
        <v>0</v>
      </c>
      <c r="D31" s="67">
        <f>Tabla4[[#This Row],[Esfera]]+Tabla79[[#This Row],[Adició]]</f>
        <v>0</v>
      </c>
      <c r="E31" s="67">
        <f>Tabla4[[#This Row],[DNP]]</f>
        <v>0</v>
      </c>
      <c r="F31" s="67">
        <f>Tabla10[[#This Row],[hp UD]]</f>
        <v>0</v>
      </c>
      <c r="G31" s="122"/>
      <c r="H31" s="123"/>
      <c r="I31" s="124"/>
      <c r="J31" s="67">
        <f>Tabla5[[#This Row],[Eix]]</f>
        <v>0</v>
      </c>
      <c r="K31" s="67">
        <f>Tabla5[[#This Row],[Cilindre]]</f>
        <v>0</v>
      </c>
      <c r="L31" s="67">
        <f>Tabla5[[#This Row],[Esfera]]</f>
        <v>0</v>
      </c>
      <c r="M31" s="67">
        <f>Tabla5[[#This Row],[DNP]]</f>
        <v>0</v>
      </c>
      <c r="N31" s="67">
        <f>Tabla10[[#This Row],[hp UE]]</f>
        <v>0</v>
      </c>
      <c r="O31" s="122"/>
      <c r="P31" s="123"/>
      <c r="Q31" s="124"/>
      <c r="R31" s="123"/>
      <c r="S31" s="129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x14ac:dyDescent="0.25">
      <c r="A32" s="139">
        <v>29</v>
      </c>
      <c r="B32" s="70">
        <f>Tabla4[[#This Row],[Eix]]</f>
        <v>0</v>
      </c>
      <c r="C32" s="67">
        <f>Tabla4[[#This Row],[Cilindre]]</f>
        <v>0</v>
      </c>
      <c r="D32" s="67">
        <f>Tabla4[[#This Row],[Esfera]]+Tabla79[[#This Row],[Adició]]</f>
        <v>0</v>
      </c>
      <c r="E32" s="67">
        <f>Tabla4[[#This Row],[DNP]]</f>
        <v>0</v>
      </c>
      <c r="F32" s="67">
        <f>Tabla10[[#This Row],[hp UD]]</f>
        <v>0</v>
      </c>
      <c r="G32" s="122"/>
      <c r="H32" s="123"/>
      <c r="I32" s="124"/>
      <c r="J32" s="67">
        <f>Tabla5[[#This Row],[Eix]]</f>
        <v>0</v>
      </c>
      <c r="K32" s="67">
        <f>Tabla5[[#This Row],[Cilindre]]</f>
        <v>0</v>
      </c>
      <c r="L32" s="67">
        <f>Tabla5[[#This Row],[Esfera]]</f>
        <v>0</v>
      </c>
      <c r="M32" s="67">
        <f>Tabla5[[#This Row],[DNP]]</f>
        <v>0</v>
      </c>
      <c r="N32" s="67">
        <f>Tabla10[[#This Row],[hp UE]]</f>
        <v>0</v>
      </c>
      <c r="O32" s="122"/>
      <c r="P32" s="123"/>
      <c r="Q32" s="124"/>
      <c r="R32" s="123"/>
      <c r="S32" s="129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x14ac:dyDescent="0.25">
      <c r="A33" s="138">
        <v>30</v>
      </c>
      <c r="B33" s="70">
        <f>Tabla4[[#This Row],[Eix]]</f>
        <v>0</v>
      </c>
      <c r="C33" s="67">
        <f>Tabla4[[#This Row],[Cilindre]]</f>
        <v>0</v>
      </c>
      <c r="D33" s="67">
        <f>Tabla4[[#This Row],[Esfera]]+Tabla79[[#This Row],[Adició]]</f>
        <v>0</v>
      </c>
      <c r="E33" s="67">
        <f>Tabla4[[#This Row],[DNP]]</f>
        <v>0</v>
      </c>
      <c r="F33" s="67">
        <f>Tabla10[[#This Row],[hp UD]]</f>
        <v>0</v>
      </c>
      <c r="G33" s="122"/>
      <c r="H33" s="123"/>
      <c r="I33" s="124"/>
      <c r="J33" s="67">
        <f>Tabla5[[#This Row],[Eix]]</f>
        <v>0</v>
      </c>
      <c r="K33" s="67">
        <f>Tabla5[[#This Row],[Cilindre]]</f>
        <v>0</v>
      </c>
      <c r="L33" s="67">
        <f>Tabla5[[#This Row],[Esfera]]</f>
        <v>0</v>
      </c>
      <c r="M33" s="67">
        <f>Tabla5[[#This Row],[DNP]]</f>
        <v>0</v>
      </c>
      <c r="N33" s="67">
        <f>Tabla10[[#This Row],[hp UE]]</f>
        <v>0</v>
      </c>
      <c r="O33" s="122"/>
      <c r="P33" s="123"/>
      <c r="Q33" s="124"/>
      <c r="R33" s="123"/>
      <c r="S33" s="129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x14ac:dyDescent="0.25">
      <c r="A34" s="139">
        <v>31</v>
      </c>
      <c r="B34" s="70">
        <f>Tabla4[[#This Row],[Eix]]</f>
        <v>0</v>
      </c>
      <c r="C34" s="67">
        <f>Tabla4[[#This Row],[Cilindre]]</f>
        <v>0</v>
      </c>
      <c r="D34" s="67">
        <f>Tabla4[[#This Row],[Esfera]]+Tabla79[[#This Row],[Adició]]</f>
        <v>0</v>
      </c>
      <c r="E34" s="67">
        <f>Tabla4[[#This Row],[DNP]]</f>
        <v>0</v>
      </c>
      <c r="F34" s="67">
        <f>Tabla10[[#This Row],[hp UD]]</f>
        <v>0</v>
      </c>
      <c r="G34" s="122"/>
      <c r="H34" s="123"/>
      <c r="I34" s="124"/>
      <c r="J34" s="67">
        <f>Tabla5[[#This Row],[Eix]]</f>
        <v>0</v>
      </c>
      <c r="K34" s="67">
        <f>Tabla5[[#This Row],[Cilindre]]</f>
        <v>0</v>
      </c>
      <c r="L34" s="67">
        <f>Tabla5[[#This Row],[Esfera]]</f>
        <v>0</v>
      </c>
      <c r="M34" s="67">
        <f>Tabla5[[#This Row],[DNP]]</f>
        <v>0</v>
      </c>
      <c r="N34" s="67">
        <f>Tabla10[[#This Row],[hp UE]]</f>
        <v>0</v>
      </c>
      <c r="O34" s="122"/>
      <c r="P34" s="123"/>
      <c r="Q34" s="124"/>
      <c r="R34" s="123"/>
      <c r="S34" s="129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x14ac:dyDescent="0.25">
      <c r="A35" s="138">
        <v>32</v>
      </c>
      <c r="B35" s="70">
        <f>Tabla4[[#This Row],[Eix]]</f>
        <v>0</v>
      </c>
      <c r="C35" s="67">
        <f>Tabla4[[#This Row],[Cilindre]]</f>
        <v>0</v>
      </c>
      <c r="D35" s="67">
        <f>Tabla4[[#This Row],[Esfera]]+Tabla79[[#This Row],[Adició]]</f>
        <v>0</v>
      </c>
      <c r="E35" s="67">
        <f>Tabla4[[#This Row],[DNP]]</f>
        <v>0</v>
      </c>
      <c r="F35" s="67">
        <f>Tabla10[[#This Row],[hp UD]]</f>
        <v>0</v>
      </c>
      <c r="G35" s="122"/>
      <c r="H35" s="123"/>
      <c r="I35" s="124"/>
      <c r="J35" s="67">
        <f>Tabla5[[#This Row],[Eix]]</f>
        <v>0</v>
      </c>
      <c r="K35" s="67">
        <f>Tabla5[[#This Row],[Cilindre]]</f>
        <v>0</v>
      </c>
      <c r="L35" s="67">
        <f>Tabla5[[#This Row],[Esfera]]</f>
        <v>0</v>
      </c>
      <c r="M35" s="67">
        <f>Tabla5[[#This Row],[DNP]]</f>
        <v>0</v>
      </c>
      <c r="N35" s="67">
        <f>Tabla10[[#This Row],[hp UE]]</f>
        <v>0</v>
      </c>
      <c r="O35" s="122"/>
      <c r="P35" s="123"/>
      <c r="Q35" s="124"/>
      <c r="R35" s="123"/>
      <c r="S35" s="129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x14ac:dyDescent="0.25">
      <c r="A36" s="139">
        <v>33</v>
      </c>
      <c r="B36" s="70">
        <f>Tabla4[[#This Row],[Eix]]</f>
        <v>0</v>
      </c>
      <c r="C36" s="67">
        <f>Tabla4[[#This Row],[Cilindre]]</f>
        <v>0</v>
      </c>
      <c r="D36" s="67">
        <f>Tabla4[[#This Row],[Esfera]]+Tabla79[[#This Row],[Adició]]</f>
        <v>0</v>
      </c>
      <c r="E36" s="67">
        <f>Tabla4[[#This Row],[DNP]]</f>
        <v>0</v>
      </c>
      <c r="F36" s="67">
        <f>Tabla10[[#This Row],[hp UD]]</f>
        <v>0</v>
      </c>
      <c r="G36" s="122"/>
      <c r="H36" s="123"/>
      <c r="I36" s="124"/>
      <c r="J36" s="67">
        <f>Tabla5[[#This Row],[Eix]]</f>
        <v>0</v>
      </c>
      <c r="K36" s="67">
        <f>Tabla5[[#This Row],[Cilindre]]</f>
        <v>0</v>
      </c>
      <c r="L36" s="67">
        <f>Tabla5[[#This Row],[Esfera]]</f>
        <v>0</v>
      </c>
      <c r="M36" s="67">
        <f>Tabla5[[#This Row],[DNP]]</f>
        <v>0</v>
      </c>
      <c r="N36" s="67">
        <f>Tabla10[[#This Row],[hp UE]]</f>
        <v>0</v>
      </c>
      <c r="O36" s="122"/>
      <c r="P36" s="123"/>
      <c r="Q36" s="124"/>
      <c r="R36" s="123"/>
      <c r="S36" s="129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x14ac:dyDescent="0.25">
      <c r="A37" s="138">
        <v>34</v>
      </c>
      <c r="B37" s="70">
        <f>Tabla4[[#This Row],[Eix]]</f>
        <v>0</v>
      </c>
      <c r="C37" s="67">
        <f>Tabla4[[#This Row],[Cilindre]]</f>
        <v>0</v>
      </c>
      <c r="D37" s="67">
        <f>Tabla4[[#This Row],[Esfera]]+Tabla79[[#This Row],[Adició]]</f>
        <v>0</v>
      </c>
      <c r="E37" s="67">
        <f>Tabla4[[#This Row],[DNP]]</f>
        <v>0</v>
      </c>
      <c r="F37" s="67">
        <f>Tabla10[[#This Row],[hp UD]]</f>
        <v>0</v>
      </c>
      <c r="G37" s="122"/>
      <c r="H37" s="123"/>
      <c r="I37" s="124"/>
      <c r="J37" s="67">
        <f>Tabla5[[#This Row],[Eix]]</f>
        <v>0</v>
      </c>
      <c r="K37" s="67">
        <f>Tabla5[[#This Row],[Cilindre]]</f>
        <v>0</v>
      </c>
      <c r="L37" s="67">
        <f>Tabla5[[#This Row],[Esfera]]</f>
        <v>0</v>
      </c>
      <c r="M37" s="67">
        <f>Tabla5[[#This Row],[DNP]]</f>
        <v>0</v>
      </c>
      <c r="N37" s="67">
        <f>Tabla10[[#This Row],[hp UE]]</f>
        <v>0</v>
      </c>
      <c r="O37" s="122"/>
      <c r="P37" s="123"/>
      <c r="Q37" s="124"/>
      <c r="R37" s="123"/>
      <c r="S37" s="129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x14ac:dyDescent="0.25">
      <c r="A38" s="139">
        <v>35</v>
      </c>
      <c r="B38" s="70">
        <f>Tabla4[[#This Row],[Eix]]</f>
        <v>0</v>
      </c>
      <c r="C38" s="67">
        <f>Tabla4[[#This Row],[Cilindre]]</f>
        <v>0</v>
      </c>
      <c r="D38" s="67">
        <f>Tabla4[[#This Row],[Esfera]]+Tabla79[[#This Row],[Adició]]</f>
        <v>0</v>
      </c>
      <c r="E38" s="67">
        <f>Tabla4[[#This Row],[DNP]]</f>
        <v>0</v>
      </c>
      <c r="F38" s="67">
        <f>Tabla10[[#This Row],[hp UD]]</f>
        <v>0</v>
      </c>
      <c r="G38" s="122"/>
      <c r="H38" s="123"/>
      <c r="I38" s="124"/>
      <c r="J38" s="67">
        <f>Tabla5[[#This Row],[Eix]]</f>
        <v>0</v>
      </c>
      <c r="K38" s="67">
        <f>Tabla5[[#This Row],[Cilindre]]</f>
        <v>0</v>
      </c>
      <c r="L38" s="67">
        <f>Tabla5[[#This Row],[Esfera]]</f>
        <v>0</v>
      </c>
      <c r="M38" s="67">
        <f>Tabla5[[#This Row],[DNP]]</f>
        <v>0</v>
      </c>
      <c r="N38" s="67">
        <f>Tabla10[[#This Row],[hp UE]]</f>
        <v>0</v>
      </c>
      <c r="O38" s="122"/>
      <c r="P38" s="123"/>
      <c r="Q38" s="124"/>
      <c r="R38" s="123"/>
      <c r="S38" s="129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x14ac:dyDescent="0.25">
      <c r="A39" s="138">
        <v>36</v>
      </c>
      <c r="B39" s="70">
        <f>Tabla4[[#This Row],[Eix]]</f>
        <v>0</v>
      </c>
      <c r="C39" s="67">
        <f>Tabla4[[#This Row],[Cilindre]]</f>
        <v>0</v>
      </c>
      <c r="D39" s="67">
        <f>Tabla4[[#This Row],[Esfera]]+Tabla79[[#This Row],[Adició]]</f>
        <v>0</v>
      </c>
      <c r="E39" s="67">
        <f>Tabla4[[#This Row],[DNP]]</f>
        <v>0</v>
      </c>
      <c r="F39" s="67">
        <f>Tabla10[[#This Row],[hp UD]]</f>
        <v>0</v>
      </c>
      <c r="G39" s="122"/>
      <c r="H39" s="123"/>
      <c r="I39" s="124"/>
      <c r="J39" s="67">
        <f>Tabla5[[#This Row],[Eix]]</f>
        <v>0</v>
      </c>
      <c r="K39" s="67">
        <f>Tabla5[[#This Row],[Cilindre]]</f>
        <v>0</v>
      </c>
      <c r="L39" s="67">
        <f>Tabla5[[#This Row],[Esfera]]</f>
        <v>0</v>
      </c>
      <c r="M39" s="67">
        <f>Tabla5[[#This Row],[DNP]]</f>
        <v>0</v>
      </c>
      <c r="N39" s="67">
        <f>Tabla10[[#This Row],[hp UE]]</f>
        <v>0</v>
      </c>
      <c r="O39" s="122"/>
      <c r="P39" s="123"/>
      <c r="Q39" s="124"/>
      <c r="R39" s="123"/>
      <c r="S39" s="129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x14ac:dyDescent="0.25">
      <c r="A40" s="139">
        <v>37</v>
      </c>
      <c r="B40" s="70">
        <f>Tabla4[[#This Row],[Eix]]</f>
        <v>0</v>
      </c>
      <c r="C40" s="67">
        <f>Tabla4[[#This Row],[Cilindre]]</f>
        <v>0</v>
      </c>
      <c r="D40" s="67">
        <f>Tabla4[[#This Row],[Esfera]]+Tabla79[[#This Row],[Adició]]</f>
        <v>0</v>
      </c>
      <c r="E40" s="67">
        <f>Tabla4[[#This Row],[DNP]]</f>
        <v>0</v>
      </c>
      <c r="F40" s="67">
        <f>Tabla10[[#This Row],[hp UD]]</f>
        <v>0</v>
      </c>
      <c r="G40" s="122"/>
      <c r="H40" s="123"/>
      <c r="I40" s="124"/>
      <c r="J40" s="67">
        <f>Tabla5[[#This Row],[Eix]]</f>
        <v>0</v>
      </c>
      <c r="K40" s="67">
        <f>Tabla5[[#This Row],[Cilindre]]</f>
        <v>0</v>
      </c>
      <c r="L40" s="67">
        <f>Tabla5[[#This Row],[Esfera]]</f>
        <v>0</v>
      </c>
      <c r="M40" s="67">
        <f>Tabla5[[#This Row],[DNP]]</f>
        <v>0</v>
      </c>
      <c r="N40" s="67">
        <f>Tabla10[[#This Row],[hp UE]]</f>
        <v>0</v>
      </c>
      <c r="O40" s="122"/>
      <c r="P40" s="123"/>
      <c r="Q40" s="124"/>
      <c r="R40" s="123"/>
      <c r="S40" s="129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x14ac:dyDescent="0.25">
      <c r="A41" s="138">
        <v>38</v>
      </c>
      <c r="B41" s="70">
        <f>Tabla4[[#This Row],[Eix]]</f>
        <v>0</v>
      </c>
      <c r="C41" s="67">
        <f>Tabla4[[#This Row],[Cilindre]]</f>
        <v>0</v>
      </c>
      <c r="D41" s="67">
        <f>Tabla4[[#This Row],[Esfera]]+Tabla79[[#This Row],[Adició]]</f>
        <v>0</v>
      </c>
      <c r="E41" s="67">
        <f>Tabla4[[#This Row],[DNP]]</f>
        <v>0</v>
      </c>
      <c r="F41" s="67">
        <f>Tabla10[[#This Row],[hp UD]]</f>
        <v>0</v>
      </c>
      <c r="G41" s="122"/>
      <c r="H41" s="123"/>
      <c r="I41" s="124"/>
      <c r="J41" s="67">
        <f>Tabla5[[#This Row],[Eix]]</f>
        <v>0</v>
      </c>
      <c r="K41" s="67">
        <f>Tabla5[[#This Row],[Cilindre]]</f>
        <v>0</v>
      </c>
      <c r="L41" s="67">
        <f>Tabla5[[#This Row],[Esfera]]</f>
        <v>0</v>
      </c>
      <c r="M41" s="67">
        <f>Tabla5[[#This Row],[DNP]]</f>
        <v>0</v>
      </c>
      <c r="N41" s="67">
        <f>Tabla10[[#This Row],[hp UE]]</f>
        <v>0</v>
      </c>
      <c r="O41" s="122"/>
      <c r="P41" s="123"/>
      <c r="Q41" s="124"/>
      <c r="R41" s="123"/>
      <c r="S41" s="129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x14ac:dyDescent="0.25">
      <c r="A42" s="139">
        <v>39</v>
      </c>
      <c r="B42" s="70">
        <f>Tabla4[[#This Row],[Eix]]</f>
        <v>0</v>
      </c>
      <c r="C42" s="67">
        <f>Tabla4[[#This Row],[Cilindre]]</f>
        <v>0</v>
      </c>
      <c r="D42" s="67">
        <f>Tabla4[[#This Row],[Esfera]]+Tabla79[[#This Row],[Adició]]</f>
        <v>0</v>
      </c>
      <c r="E42" s="67">
        <f>Tabla4[[#This Row],[DNP]]</f>
        <v>0</v>
      </c>
      <c r="F42" s="67">
        <f>Tabla10[[#This Row],[hp UD]]</f>
        <v>0</v>
      </c>
      <c r="G42" s="122"/>
      <c r="H42" s="123"/>
      <c r="I42" s="124"/>
      <c r="J42" s="67">
        <f>Tabla5[[#This Row],[Eix]]</f>
        <v>0</v>
      </c>
      <c r="K42" s="67">
        <f>Tabla5[[#This Row],[Cilindre]]</f>
        <v>0</v>
      </c>
      <c r="L42" s="67">
        <f>Tabla5[[#This Row],[Esfera]]</f>
        <v>0</v>
      </c>
      <c r="M42" s="67">
        <f>Tabla5[[#This Row],[DNP]]</f>
        <v>0</v>
      </c>
      <c r="N42" s="67">
        <f>Tabla10[[#This Row],[hp UE]]</f>
        <v>0</v>
      </c>
      <c r="O42" s="122"/>
      <c r="P42" s="123"/>
      <c r="Q42" s="124"/>
      <c r="R42" s="123"/>
      <c r="S42" s="129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x14ac:dyDescent="0.25">
      <c r="A43" s="138">
        <v>40</v>
      </c>
      <c r="B43" s="70">
        <f>Tabla4[[#This Row],[Eix]]</f>
        <v>0</v>
      </c>
      <c r="C43" s="67">
        <f>Tabla4[[#This Row],[Cilindre]]</f>
        <v>0</v>
      </c>
      <c r="D43" s="67">
        <f>Tabla4[[#This Row],[Esfera]]+Tabla79[[#This Row],[Adició]]</f>
        <v>0</v>
      </c>
      <c r="E43" s="67">
        <f>Tabla4[[#This Row],[DNP]]</f>
        <v>0</v>
      </c>
      <c r="F43" s="67">
        <f>Tabla10[[#This Row],[hp UD]]</f>
        <v>0</v>
      </c>
      <c r="G43" s="122"/>
      <c r="H43" s="123"/>
      <c r="I43" s="124"/>
      <c r="J43" s="67">
        <f>Tabla5[[#This Row],[Eix]]</f>
        <v>0</v>
      </c>
      <c r="K43" s="67">
        <f>Tabla5[[#This Row],[Cilindre]]</f>
        <v>0</v>
      </c>
      <c r="L43" s="67">
        <f>Tabla5[[#This Row],[Esfera]]</f>
        <v>0</v>
      </c>
      <c r="M43" s="67">
        <f>Tabla5[[#This Row],[DNP]]</f>
        <v>0</v>
      </c>
      <c r="N43" s="67">
        <f>Tabla10[[#This Row],[hp UE]]</f>
        <v>0</v>
      </c>
      <c r="O43" s="122"/>
      <c r="P43" s="123"/>
      <c r="Q43" s="124"/>
      <c r="R43" s="123"/>
      <c r="S43" s="129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x14ac:dyDescent="0.25">
      <c r="A44" s="139">
        <v>41</v>
      </c>
      <c r="B44" s="70">
        <f>Tabla4[[#This Row],[Eix]]</f>
        <v>0</v>
      </c>
      <c r="C44" s="67">
        <f>Tabla4[[#This Row],[Cilindre]]</f>
        <v>0</v>
      </c>
      <c r="D44" s="67">
        <f>Tabla4[[#This Row],[Esfera]]+Tabla79[[#This Row],[Adició]]</f>
        <v>0</v>
      </c>
      <c r="E44" s="67">
        <f>Tabla4[[#This Row],[DNP]]</f>
        <v>0</v>
      </c>
      <c r="F44" s="67">
        <f>Tabla10[[#This Row],[hp UD]]</f>
        <v>0</v>
      </c>
      <c r="G44" s="122"/>
      <c r="H44" s="123"/>
      <c r="I44" s="124"/>
      <c r="J44" s="67">
        <f>Tabla5[[#This Row],[Eix]]</f>
        <v>0</v>
      </c>
      <c r="K44" s="67">
        <f>Tabla5[[#This Row],[Cilindre]]</f>
        <v>0</v>
      </c>
      <c r="L44" s="67">
        <f>Tabla5[[#This Row],[Esfera]]</f>
        <v>0</v>
      </c>
      <c r="M44" s="67">
        <f>Tabla5[[#This Row],[DNP]]</f>
        <v>0</v>
      </c>
      <c r="N44" s="67">
        <f>Tabla10[[#This Row],[hp UE]]</f>
        <v>0</v>
      </c>
      <c r="O44" s="122"/>
      <c r="P44" s="123"/>
      <c r="Q44" s="124"/>
      <c r="R44" s="123"/>
      <c r="S44" s="129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x14ac:dyDescent="0.25">
      <c r="A45" s="138">
        <v>42</v>
      </c>
      <c r="B45" s="70">
        <f>Tabla4[[#This Row],[Eix]]</f>
        <v>0</v>
      </c>
      <c r="C45" s="67">
        <f>Tabla4[[#This Row],[Cilindre]]</f>
        <v>0</v>
      </c>
      <c r="D45" s="67">
        <f>Tabla4[[#This Row],[Esfera]]+Tabla79[[#This Row],[Adició]]</f>
        <v>0</v>
      </c>
      <c r="E45" s="67">
        <f>Tabla4[[#This Row],[DNP]]</f>
        <v>0</v>
      </c>
      <c r="F45" s="67">
        <f>Tabla10[[#This Row],[hp UD]]</f>
        <v>0</v>
      </c>
      <c r="G45" s="122"/>
      <c r="H45" s="123"/>
      <c r="I45" s="124"/>
      <c r="J45" s="67">
        <f>Tabla5[[#This Row],[Eix]]</f>
        <v>0</v>
      </c>
      <c r="K45" s="67">
        <f>Tabla5[[#This Row],[Cilindre]]</f>
        <v>0</v>
      </c>
      <c r="L45" s="67">
        <f>Tabla5[[#This Row],[Esfera]]</f>
        <v>0</v>
      </c>
      <c r="M45" s="67">
        <f>Tabla5[[#This Row],[DNP]]</f>
        <v>0</v>
      </c>
      <c r="N45" s="67">
        <f>Tabla10[[#This Row],[hp UE]]</f>
        <v>0</v>
      </c>
      <c r="O45" s="122"/>
      <c r="P45" s="123"/>
      <c r="Q45" s="124"/>
      <c r="R45" s="123"/>
      <c r="S45" s="129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x14ac:dyDescent="0.25">
      <c r="A46" s="139">
        <v>43</v>
      </c>
      <c r="B46" s="70">
        <f>Tabla4[[#This Row],[Eix]]</f>
        <v>0</v>
      </c>
      <c r="C46" s="67">
        <f>Tabla4[[#This Row],[Cilindre]]</f>
        <v>0</v>
      </c>
      <c r="D46" s="67">
        <f>Tabla4[[#This Row],[Esfera]]+Tabla79[[#This Row],[Adició]]</f>
        <v>0</v>
      </c>
      <c r="E46" s="67">
        <f>Tabla4[[#This Row],[DNP]]</f>
        <v>0</v>
      </c>
      <c r="F46" s="67">
        <f>Tabla10[[#This Row],[hp UD]]</f>
        <v>0</v>
      </c>
      <c r="G46" s="122"/>
      <c r="H46" s="123"/>
      <c r="I46" s="124"/>
      <c r="J46" s="67">
        <f>Tabla5[[#This Row],[Eix]]</f>
        <v>0</v>
      </c>
      <c r="K46" s="67">
        <f>Tabla5[[#This Row],[Cilindre]]</f>
        <v>0</v>
      </c>
      <c r="L46" s="67">
        <f>Tabla5[[#This Row],[Esfera]]</f>
        <v>0</v>
      </c>
      <c r="M46" s="67">
        <f>Tabla5[[#This Row],[DNP]]</f>
        <v>0</v>
      </c>
      <c r="N46" s="67">
        <f>Tabla10[[#This Row],[hp UE]]</f>
        <v>0</v>
      </c>
      <c r="O46" s="122"/>
      <c r="P46" s="123"/>
      <c r="Q46" s="124"/>
      <c r="R46" s="123"/>
      <c r="S46" s="129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x14ac:dyDescent="0.25">
      <c r="A47" s="138">
        <v>44</v>
      </c>
      <c r="B47" s="70">
        <f>Tabla4[[#This Row],[Eix]]</f>
        <v>0</v>
      </c>
      <c r="C47" s="67">
        <f>Tabla4[[#This Row],[Cilindre]]</f>
        <v>0</v>
      </c>
      <c r="D47" s="67">
        <f>Tabla4[[#This Row],[Esfera]]+Tabla79[[#This Row],[Adició]]</f>
        <v>0</v>
      </c>
      <c r="E47" s="67">
        <f>Tabla4[[#This Row],[DNP]]</f>
        <v>0</v>
      </c>
      <c r="F47" s="67">
        <f>Tabla10[[#This Row],[hp UD]]</f>
        <v>0</v>
      </c>
      <c r="G47" s="122"/>
      <c r="H47" s="123"/>
      <c r="I47" s="124"/>
      <c r="J47" s="67">
        <f>Tabla5[[#This Row],[Eix]]</f>
        <v>0</v>
      </c>
      <c r="K47" s="67">
        <f>Tabla5[[#This Row],[Cilindre]]</f>
        <v>0</v>
      </c>
      <c r="L47" s="67">
        <f>Tabla5[[#This Row],[Esfera]]</f>
        <v>0</v>
      </c>
      <c r="M47" s="67">
        <f>Tabla5[[#This Row],[DNP]]</f>
        <v>0</v>
      </c>
      <c r="N47" s="67">
        <f>Tabla10[[#This Row],[hp UE]]</f>
        <v>0</v>
      </c>
      <c r="O47" s="122"/>
      <c r="P47" s="123"/>
      <c r="Q47" s="124"/>
      <c r="R47" s="123"/>
      <c r="S47" s="129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x14ac:dyDescent="0.25">
      <c r="A48" s="139">
        <v>45</v>
      </c>
      <c r="B48" s="70">
        <f>Tabla4[[#This Row],[Eix]]</f>
        <v>0</v>
      </c>
      <c r="C48" s="67">
        <f>Tabla4[[#This Row],[Cilindre]]</f>
        <v>0</v>
      </c>
      <c r="D48" s="67">
        <f>Tabla4[[#This Row],[Esfera]]+Tabla79[[#This Row],[Adició]]</f>
        <v>0</v>
      </c>
      <c r="E48" s="67">
        <f>Tabla4[[#This Row],[DNP]]</f>
        <v>0</v>
      </c>
      <c r="F48" s="67">
        <f>Tabla10[[#This Row],[hp UD]]</f>
        <v>0</v>
      </c>
      <c r="G48" s="122"/>
      <c r="H48" s="123"/>
      <c r="I48" s="124"/>
      <c r="J48" s="67">
        <f>Tabla5[[#This Row],[Eix]]</f>
        <v>0</v>
      </c>
      <c r="K48" s="67">
        <f>Tabla5[[#This Row],[Cilindre]]</f>
        <v>0</v>
      </c>
      <c r="L48" s="67">
        <f>Tabla5[[#This Row],[Esfera]]</f>
        <v>0</v>
      </c>
      <c r="M48" s="67">
        <f>Tabla5[[#This Row],[DNP]]</f>
        <v>0</v>
      </c>
      <c r="N48" s="67">
        <f>Tabla10[[#This Row],[hp UE]]</f>
        <v>0</v>
      </c>
      <c r="O48" s="122"/>
      <c r="P48" s="123"/>
      <c r="Q48" s="124"/>
      <c r="R48" s="123"/>
      <c r="S48" s="129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x14ac:dyDescent="0.25">
      <c r="A49" s="138">
        <v>46</v>
      </c>
      <c r="B49" s="70">
        <f>Tabla4[[#This Row],[Eix]]</f>
        <v>0</v>
      </c>
      <c r="C49" s="67">
        <f>Tabla4[[#This Row],[Cilindre]]</f>
        <v>0</v>
      </c>
      <c r="D49" s="67">
        <f>Tabla4[[#This Row],[Esfera]]+Tabla79[[#This Row],[Adició]]</f>
        <v>0</v>
      </c>
      <c r="E49" s="67">
        <f>Tabla4[[#This Row],[DNP]]</f>
        <v>0</v>
      </c>
      <c r="F49" s="67">
        <f>Tabla10[[#This Row],[hp UD]]</f>
        <v>0</v>
      </c>
      <c r="G49" s="122"/>
      <c r="H49" s="123"/>
      <c r="I49" s="124"/>
      <c r="J49" s="67">
        <f>Tabla5[[#This Row],[Eix]]</f>
        <v>0</v>
      </c>
      <c r="K49" s="67">
        <f>Tabla5[[#This Row],[Cilindre]]</f>
        <v>0</v>
      </c>
      <c r="L49" s="67">
        <f>Tabla5[[#This Row],[Esfera]]</f>
        <v>0</v>
      </c>
      <c r="M49" s="67">
        <f>Tabla5[[#This Row],[DNP]]</f>
        <v>0</v>
      </c>
      <c r="N49" s="67">
        <f>Tabla10[[#This Row],[hp UE]]</f>
        <v>0</v>
      </c>
      <c r="O49" s="122"/>
      <c r="P49" s="123"/>
      <c r="Q49" s="124"/>
      <c r="R49" s="123"/>
      <c r="S49" s="129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x14ac:dyDescent="0.25">
      <c r="A50" s="139">
        <v>47</v>
      </c>
      <c r="B50" s="70">
        <f>Tabla4[[#This Row],[Eix]]</f>
        <v>0</v>
      </c>
      <c r="C50" s="67">
        <f>Tabla4[[#This Row],[Cilindre]]</f>
        <v>0</v>
      </c>
      <c r="D50" s="67">
        <f>Tabla4[[#This Row],[Esfera]]+Tabla79[[#This Row],[Adició]]</f>
        <v>0</v>
      </c>
      <c r="E50" s="67">
        <f>Tabla4[[#This Row],[DNP]]</f>
        <v>0</v>
      </c>
      <c r="F50" s="67">
        <f>Tabla10[[#This Row],[hp UD]]</f>
        <v>0</v>
      </c>
      <c r="G50" s="122"/>
      <c r="H50" s="123"/>
      <c r="I50" s="124"/>
      <c r="J50" s="67">
        <f>Tabla5[[#This Row],[Eix]]</f>
        <v>0</v>
      </c>
      <c r="K50" s="67">
        <f>Tabla5[[#This Row],[Cilindre]]</f>
        <v>0</v>
      </c>
      <c r="L50" s="67">
        <f>Tabla5[[#This Row],[Esfera]]</f>
        <v>0</v>
      </c>
      <c r="M50" s="67">
        <f>Tabla5[[#This Row],[DNP]]</f>
        <v>0</v>
      </c>
      <c r="N50" s="67">
        <f>Tabla10[[#This Row],[hp UE]]</f>
        <v>0</v>
      </c>
      <c r="O50" s="122"/>
      <c r="P50" s="123"/>
      <c r="Q50" s="124"/>
      <c r="R50" s="123"/>
      <c r="S50" s="129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x14ac:dyDescent="0.25">
      <c r="A51" s="138">
        <v>48</v>
      </c>
      <c r="B51" s="70">
        <f>Tabla4[[#This Row],[Eix]]</f>
        <v>0</v>
      </c>
      <c r="C51" s="67">
        <f>Tabla4[[#This Row],[Cilindre]]</f>
        <v>0</v>
      </c>
      <c r="D51" s="67">
        <f>Tabla4[[#This Row],[Esfera]]+Tabla79[[#This Row],[Adició]]</f>
        <v>0</v>
      </c>
      <c r="E51" s="67">
        <f>Tabla4[[#This Row],[DNP]]</f>
        <v>0</v>
      </c>
      <c r="F51" s="67">
        <f>Tabla10[[#This Row],[hp UD]]</f>
        <v>0</v>
      </c>
      <c r="G51" s="122"/>
      <c r="H51" s="123"/>
      <c r="I51" s="124"/>
      <c r="J51" s="67">
        <f>Tabla5[[#This Row],[Eix]]</f>
        <v>0</v>
      </c>
      <c r="K51" s="67">
        <f>Tabla5[[#This Row],[Cilindre]]</f>
        <v>0</v>
      </c>
      <c r="L51" s="67">
        <f>Tabla5[[#This Row],[Esfera]]</f>
        <v>0</v>
      </c>
      <c r="M51" s="67">
        <f>Tabla5[[#This Row],[DNP]]</f>
        <v>0</v>
      </c>
      <c r="N51" s="67">
        <f>Tabla10[[#This Row],[hp UE]]</f>
        <v>0</v>
      </c>
      <c r="O51" s="122"/>
      <c r="P51" s="123"/>
      <c r="Q51" s="124"/>
      <c r="R51" s="123"/>
      <c r="S51" s="129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x14ac:dyDescent="0.25">
      <c r="A52" s="139">
        <v>49</v>
      </c>
      <c r="B52" s="70">
        <f>Tabla4[[#This Row],[Eix]]</f>
        <v>0</v>
      </c>
      <c r="C52" s="67">
        <f>Tabla4[[#This Row],[Cilindre]]</f>
        <v>0</v>
      </c>
      <c r="D52" s="67">
        <f>Tabla4[[#This Row],[Esfera]]+Tabla79[[#This Row],[Adició]]</f>
        <v>0</v>
      </c>
      <c r="E52" s="67">
        <f>Tabla4[[#This Row],[DNP]]</f>
        <v>0</v>
      </c>
      <c r="F52" s="67">
        <f>Tabla10[[#This Row],[hp UD]]</f>
        <v>0</v>
      </c>
      <c r="G52" s="122"/>
      <c r="H52" s="123"/>
      <c r="I52" s="124"/>
      <c r="J52" s="67">
        <f>Tabla5[[#This Row],[Eix]]</f>
        <v>0</v>
      </c>
      <c r="K52" s="67">
        <f>Tabla5[[#This Row],[Cilindre]]</f>
        <v>0</v>
      </c>
      <c r="L52" s="67">
        <f>Tabla5[[#This Row],[Esfera]]</f>
        <v>0</v>
      </c>
      <c r="M52" s="67">
        <f>Tabla5[[#This Row],[DNP]]</f>
        <v>0</v>
      </c>
      <c r="N52" s="67">
        <f>Tabla10[[#This Row],[hp UE]]</f>
        <v>0</v>
      </c>
      <c r="O52" s="122"/>
      <c r="P52" s="123"/>
      <c r="Q52" s="124"/>
      <c r="R52" s="123"/>
      <c r="S52" s="129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ht="15.75" thickBot="1" x14ac:dyDescent="0.3">
      <c r="A53" s="140">
        <v>50</v>
      </c>
      <c r="B53" s="71">
        <f>Tabla4[[#This Row],[Eix]]</f>
        <v>0</v>
      </c>
      <c r="C53" s="72">
        <f>Tabla4[[#This Row],[Cilindre]]</f>
        <v>0</v>
      </c>
      <c r="D53" s="72">
        <f>Tabla4[[#This Row],[Esfera]]+Tabla79[[#This Row],[Adició]]</f>
        <v>0</v>
      </c>
      <c r="E53" s="72">
        <f>Tabla4[[#This Row],[DNP]]</f>
        <v>0</v>
      </c>
      <c r="F53" s="72">
        <f>Tabla10[[#This Row],[hp UD]]</f>
        <v>0</v>
      </c>
      <c r="G53" s="125"/>
      <c r="H53" s="126"/>
      <c r="I53" s="127"/>
      <c r="J53" s="67">
        <f>Tabla5[[#This Row],[Eix]]</f>
        <v>0</v>
      </c>
      <c r="K53" s="67">
        <f>Tabla5[[#This Row],[Cilindre]]</f>
        <v>0</v>
      </c>
      <c r="L53" s="67">
        <f>Tabla5[[#This Row],[Esfera]]</f>
        <v>0</v>
      </c>
      <c r="M53" s="67">
        <f>Tabla5[[#This Row],[DNP]]</f>
        <v>0</v>
      </c>
      <c r="N53" s="67">
        <f>Tabla10[[#This Row],[hp UE]]</f>
        <v>0</v>
      </c>
      <c r="O53" s="122"/>
      <c r="P53" s="123"/>
      <c r="Q53" s="124"/>
      <c r="R53" s="123"/>
      <c r="S53" s="129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ht="15.75" thickBot="1" x14ac:dyDescent="0.3">
      <c r="A54" s="244"/>
      <c r="B54" s="244"/>
      <c r="C54" s="244"/>
      <c r="D54" s="244"/>
      <c r="E54" s="244"/>
      <c r="F54" s="245"/>
      <c r="G54" s="246"/>
      <c r="H54" s="244"/>
      <c r="I54" s="245"/>
      <c r="J54" s="247"/>
      <c r="K54" s="247"/>
      <c r="L54" s="247"/>
      <c r="M54" s="247"/>
      <c r="N54" s="248"/>
      <c r="O54" s="246"/>
      <c r="P54" s="244"/>
      <c r="Q54" s="108"/>
      <c r="R54" s="109"/>
    </row>
    <row r="55" spans="1:30" x14ac:dyDescent="0.25">
      <c r="A55" s="110" t="s">
        <v>62</v>
      </c>
      <c r="B55" s="235"/>
      <c r="C55" s="236"/>
      <c r="D55" s="236"/>
      <c r="E55" s="236"/>
      <c r="F55" s="237"/>
      <c r="G55" s="111">
        <f>COUNTBLANK(Tabla26[Eix])</f>
        <v>50</v>
      </c>
      <c r="H55" s="85">
        <f>COUNTBLANK(Tabla26[DNC])</f>
        <v>50</v>
      </c>
      <c r="I55" s="86">
        <f>COUNTBLANK(Tabla26[hc])</f>
        <v>50</v>
      </c>
      <c r="J55" s="236"/>
      <c r="K55" s="236"/>
      <c r="L55" s="236"/>
      <c r="M55" s="236"/>
      <c r="N55" s="237"/>
      <c r="O55" s="111">
        <f>COUNTBLANK(Tabla2629[Eix])</f>
        <v>50</v>
      </c>
      <c r="P55" s="85">
        <f>COUNTBLANK(Tabla2629[DNC])</f>
        <v>50</v>
      </c>
      <c r="Q55" s="86">
        <f>COUNTBLANK(Tabla2629[hc])</f>
        <v>50</v>
      </c>
      <c r="R55" s="112">
        <f>COUNTBLANK(Tabla34[Sí / NO])</f>
        <v>50</v>
      </c>
    </row>
    <row r="56" spans="1:30" ht="15.75" thickBot="1" x14ac:dyDescent="0.3">
      <c r="A56" s="113" t="s">
        <v>63</v>
      </c>
      <c r="B56" s="238"/>
      <c r="C56" s="239"/>
      <c r="D56" s="239"/>
      <c r="E56" s="239"/>
      <c r="F56" s="240"/>
      <c r="G56" s="114">
        <f>50-G55</f>
        <v>0</v>
      </c>
      <c r="H56" s="95">
        <f>50-H55</f>
        <v>0</v>
      </c>
      <c r="I56" s="96">
        <f>50-I55</f>
        <v>0</v>
      </c>
      <c r="J56" s="239"/>
      <c r="K56" s="239"/>
      <c r="L56" s="239"/>
      <c r="M56" s="239"/>
      <c r="N56" s="240"/>
      <c r="O56" s="114">
        <f>50-O55</f>
        <v>0</v>
      </c>
      <c r="P56" s="95">
        <f>50-P55</f>
        <v>0</v>
      </c>
      <c r="Q56" s="96">
        <f>50-Q55</f>
        <v>0</v>
      </c>
      <c r="R56" s="115">
        <f>50-R55</f>
        <v>0</v>
      </c>
    </row>
    <row r="57" spans="1:30" ht="15.75" thickBot="1" x14ac:dyDescent="0.3">
      <c r="A57" s="181" t="s">
        <v>110</v>
      </c>
      <c r="B57" s="241"/>
      <c r="C57" s="242"/>
      <c r="D57" s="242"/>
      <c r="E57" s="242"/>
      <c r="F57" s="243"/>
      <c r="G57" s="116">
        <f>G56*1/50</f>
        <v>0</v>
      </c>
      <c r="H57" s="117">
        <f>H56*1/50</f>
        <v>0</v>
      </c>
      <c r="I57" s="118">
        <f>I56*1/50</f>
        <v>0</v>
      </c>
      <c r="J57" s="242"/>
      <c r="K57" s="242"/>
      <c r="L57" s="242"/>
      <c r="M57" s="242"/>
      <c r="N57" s="243"/>
      <c r="O57" s="116">
        <f>O56*1/50</f>
        <v>0</v>
      </c>
      <c r="P57" s="117">
        <f>P56*1/50</f>
        <v>0</v>
      </c>
      <c r="Q57" s="118">
        <f>Q56*1/50</f>
        <v>0</v>
      </c>
      <c r="R57" s="119">
        <f>R56*1/50</f>
        <v>0</v>
      </c>
    </row>
  </sheetData>
  <sheetProtection selectLockedCells="1"/>
  <mergeCells count="14">
    <mergeCell ref="B55:F57"/>
    <mergeCell ref="J55:N57"/>
    <mergeCell ref="A54:F54"/>
    <mergeCell ref="G54:I54"/>
    <mergeCell ref="O54:P54"/>
    <mergeCell ref="J54:N54"/>
    <mergeCell ref="R1:R2"/>
    <mergeCell ref="S1:S2"/>
    <mergeCell ref="B2:F2"/>
    <mergeCell ref="J2:N2"/>
    <mergeCell ref="O2:Q2"/>
    <mergeCell ref="B1:I1"/>
    <mergeCell ref="G2:I2"/>
    <mergeCell ref="J1:Q1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CRITERIS!$D$3:$D$182</xm:f>
          </x14:formula1>
          <xm:sqref>G4:G53 O4:O53</xm:sqref>
        </x14:dataValidation>
        <x14:dataValidation type="list" allowBlank="1" showInputMessage="1" showErrorMessage="1" xr:uid="{00000000-0002-0000-0100-000001000000}">
          <x14:formula1>
            <xm:f>CRITERIS!$G$3:$G$45</xm:f>
          </x14:formula1>
          <xm:sqref>H4:H53 P4:P53</xm:sqref>
        </x14:dataValidation>
        <x14:dataValidation type="list" allowBlank="1" showInputMessage="1" showErrorMessage="1" xr:uid="{00000000-0002-0000-0100-000002000000}">
          <x14:formula1>
            <xm:f>CRITERIS!$Z$3:$Z$35</xm:f>
          </x14:formula1>
          <xm:sqref>I4:I53 Q4:Q53</xm:sqref>
        </x14:dataValidation>
        <x14:dataValidation type="list" allowBlank="1" showInputMessage="1" showErrorMessage="1" xr:uid="{00000000-0002-0000-0100-000003000000}">
          <x14:formula1>
            <xm:f>CRITERIS!$R$3:$R$4</xm:f>
          </x14:formula1>
          <xm:sqref>R4:R53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K57"/>
  <sheetViews>
    <sheetView workbookViewId="0">
      <selection activeCell="S7" sqref="S7"/>
    </sheetView>
  </sheetViews>
  <sheetFormatPr baseColWidth="10" defaultRowHeight="15" x14ac:dyDescent="0.25"/>
  <cols>
    <col min="1" max="1" width="7.42578125" customWidth="1"/>
    <col min="2" max="2" width="7.5703125" customWidth="1"/>
    <col min="3" max="3" width="7.7109375" customWidth="1"/>
    <col min="4" max="4" width="14" customWidth="1"/>
    <col min="5" max="5" width="6.7109375" customWidth="1"/>
    <col min="6" max="6" width="10.7109375" customWidth="1"/>
    <col min="7" max="7" width="8.7109375" customWidth="1"/>
    <col min="8" max="8" width="7.140625" bestFit="1" customWidth="1"/>
    <col min="9" max="9" width="6.7109375" customWidth="1"/>
    <col min="10" max="10" width="10.7109375" customWidth="1"/>
    <col min="11" max="11" width="8.7109375" customWidth="1"/>
    <col min="12" max="12" width="7.7109375" customWidth="1"/>
    <col min="13" max="13" width="9.42578125" customWidth="1"/>
    <col min="14" max="14" width="9.85546875" customWidth="1"/>
    <col min="15" max="15" width="11.7109375" customWidth="1"/>
    <col min="16" max="16" width="12.28515625" customWidth="1"/>
    <col min="17" max="17" width="10.7109375" customWidth="1"/>
    <col min="18" max="18" width="7.28515625" customWidth="1"/>
    <col min="19" max="19" width="13.7109375" customWidth="1"/>
    <col min="20" max="20" width="7.5703125" customWidth="1"/>
    <col min="21" max="21" width="11.42578125" customWidth="1"/>
    <col min="22" max="22" width="6.85546875" customWidth="1"/>
    <col min="23" max="23" width="11.42578125" customWidth="1"/>
    <col min="24" max="24" width="12.7109375" customWidth="1"/>
    <col min="25" max="25" width="6.7109375" customWidth="1"/>
    <col min="26" max="26" width="8.85546875" customWidth="1"/>
    <col min="27" max="27" width="13.28515625" customWidth="1"/>
    <col min="28" max="28" width="13.7109375" customWidth="1"/>
    <col min="29" max="29" width="10.5703125" customWidth="1"/>
    <col min="30" max="30" width="11.7109375" customWidth="1"/>
    <col min="31" max="31" width="12.140625" customWidth="1"/>
    <col min="32" max="32" width="12.28515625" customWidth="1"/>
    <col min="33" max="33" width="17.7109375" customWidth="1"/>
    <col min="34" max="34" width="11.42578125" customWidth="1"/>
    <col min="35" max="35" width="11" customWidth="1"/>
    <col min="36" max="36" width="11.28515625" customWidth="1"/>
    <col min="37" max="37" width="12.28515625" customWidth="1"/>
  </cols>
  <sheetData>
    <row r="1" spans="1:37" ht="20.25" customHeight="1" thickBot="1" x14ac:dyDescent="0.3">
      <c r="A1" s="303" t="s">
        <v>0</v>
      </c>
      <c r="B1" s="304"/>
      <c r="C1" s="304"/>
      <c r="D1" s="305"/>
      <c r="E1" s="289" t="s">
        <v>12</v>
      </c>
      <c r="F1" s="290"/>
      <c r="G1" s="290"/>
      <c r="H1" s="290"/>
      <c r="I1" s="290"/>
      <c r="J1" s="290"/>
      <c r="K1" s="290"/>
      <c r="L1" s="290"/>
      <c r="M1" s="290"/>
      <c r="N1" s="309"/>
      <c r="O1" s="282" t="s">
        <v>30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2"/>
      <c r="AC1" s="212" t="s">
        <v>66</v>
      </c>
      <c r="AD1" s="213"/>
      <c r="AE1" s="213"/>
      <c r="AF1" s="213"/>
      <c r="AG1" s="213"/>
      <c r="AH1" s="213"/>
      <c r="AI1" s="213"/>
      <c r="AJ1" s="213"/>
      <c r="AK1" s="214"/>
    </row>
    <row r="2" spans="1:37" ht="15.75" customHeight="1" thickBot="1" x14ac:dyDescent="0.3">
      <c r="A2" s="306"/>
      <c r="B2" s="307"/>
      <c r="C2" s="307"/>
      <c r="D2" s="308"/>
      <c r="E2" s="215" t="s">
        <v>11</v>
      </c>
      <c r="F2" s="216"/>
      <c r="G2" s="216"/>
      <c r="H2" s="217"/>
      <c r="I2" s="218" t="s">
        <v>10</v>
      </c>
      <c r="J2" s="218"/>
      <c r="K2" s="218"/>
      <c r="L2" s="219"/>
      <c r="M2" s="52"/>
      <c r="N2" s="53"/>
      <c r="O2" s="293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5"/>
      <c r="AC2" s="249"/>
      <c r="AD2" s="250"/>
      <c r="AE2" s="250"/>
      <c r="AF2" s="250"/>
      <c r="AG2" s="250"/>
      <c r="AH2" s="250"/>
      <c r="AI2" s="250"/>
      <c r="AJ2" s="250"/>
      <c r="AK2" s="251"/>
    </row>
    <row r="3" spans="1:37" ht="15" customHeight="1" thickBot="1" x14ac:dyDescent="0.3">
      <c r="A3" s="59" t="s">
        <v>18</v>
      </c>
      <c r="B3" s="130" t="s">
        <v>19</v>
      </c>
      <c r="C3" s="59" t="s">
        <v>20</v>
      </c>
      <c r="D3" s="59" t="s">
        <v>21</v>
      </c>
      <c r="E3" s="58" t="s">
        <v>22</v>
      </c>
      <c r="F3" s="59" t="s">
        <v>23</v>
      </c>
      <c r="G3" s="59" t="s">
        <v>24</v>
      </c>
      <c r="H3" s="60" t="s">
        <v>13</v>
      </c>
      <c r="I3" s="59" t="s">
        <v>22</v>
      </c>
      <c r="J3" s="59" t="s">
        <v>23</v>
      </c>
      <c r="K3" s="59" t="s">
        <v>24</v>
      </c>
      <c r="L3" s="59" t="s">
        <v>13</v>
      </c>
      <c r="M3" s="61" t="s">
        <v>93</v>
      </c>
      <c r="N3" s="61" t="s">
        <v>113</v>
      </c>
      <c r="O3" s="62" t="s">
        <v>31</v>
      </c>
      <c r="P3" s="63" t="s">
        <v>96</v>
      </c>
      <c r="Q3" s="63" t="s">
        <v>32</v>
      </c>
      <c r="R3" s="64" t="s">
        <v>91</v>
      </c>
      <c r="S3" s="63" t="s">
        <v>34</v>
      </c>
      <c r="T3" s="65" t="s">
        <v>39</v>
      </c>
      <c r="U3" s="63" t="s">
        <v>92</v>
      </c>
      <c r="V3" s="63" t="s">
        <v>36</v>
      </c>
      <c r="W3" s="63" t="s">
        <v>37</v>
      </c>
      <c r="X3" s="63" t="s">
        <v>38</v>
      </c>
      <c r="Y3" s="65" t="s">
        <v>40</v>
      </c>
      <c r="Z3" s="63" t="s">
        <v>41</v>
      </c>
      <c r="AA3" s="63" t="s">
        <v>117</v>
      </c>
      <c r="AB3" s="63" t="s">
        <v>42</v>
      </c>
      <c r="AC3" s="62" t="s">
        <v>32</v>
      </c>
      <c r="AD3" s="63" t="s">
        <v>67</v>
      </c>
      <c r="AE3" s="63" t="s">
        <v>68</v>
      </c>
      <c r="AF3" s="63" t="s">
        <v>69</v>
      </c>
      <c r="AG3" s="63" t="s">
        <v>90</v>
      </c>
      <c r="AH3" s="63" t="s">
        <v>71</v>
      </c>
      <c r="AI3" s="63" t="s">
        <v>72</v>
      </c>
      <c r="AJ3" s="63" t="s">
        <v>73</v>
      </c>
      <c r="AK3" s="66" t="s">
        <v>100</v>
      </c>
    </row>
    <row r="4" spans="1:37" ht="15" customHeight="1" x14ac:dyDescent="0.25">
      <c r="A4" s="141">
        <v>1</v>
      </c>
      <c r="B4" s="5"/>
      <c r="C4" s="5"/>
      <c r="D4" s="5"/>
      <c r="E4" s="4"/>
      <c r="F4" s="5"/>
      <c r="G4" s="5"/>
      <c r="H4" s="98"/>
      <c r="I4" s="5"/>
      <c r="J4" s="5"/>
      <c r="K4" s="5"/>
      <c r="L4" s="98"/>
      <c r="M4" s="3"/>
      <c r="N4" s="3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3"/>
      <c r="AD4" s="3"/>
      <c r="AE4" s="3"/>
      <c r="AF4" s="3"/>
      <c r="AG4" s="3"/>
      <c r="AH4" s="3"/>
      <c r="AI4" s="3"/>
      <c r="AJ4" s="3"/>
      <c r="AK4" s="3"/>
    </row>
    <row r="5" spans="1:37" ht="15" customHeight="1" x14ac:dyDescent="0.25">
      <c r="A5" s="136">
        <v>2</v>
      </c>
      <c r="B5" s="3"/>
      <c r="C5" s="3"/>
      <c r="D5" s="3"/>
      <c r="E5" s="6"/>
      <c r="F5" s="3"/>
      <c r="G5" s="3"/>
      <c r="H5" s="99"/>
      <c r="I5" s="3"/>
      <c r="J5" s="3"/>
      <c r="K5" s="3"/>
      <c r="L5" s="99"/>
      <c r="M5" s="3"/>
      <c r="N5" s="3"/>
      <c r="O5" s="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99"/>
      <c r="AC5" s="3"/>
      <c r="AD5" s="3"/>
      <c r="AE5" s="3"/>
      <c r="AF5" s="3"/>
      <c r="AG5" s="3"/>
      <c r="AH5" s="3"/>
      <c r="AI5" s="3"/>
      <c r="AJ5" s="3"/>
      <c r="AK5" s="3"/>
    </row>
    <row r="6" spans="1:37" ht="15" customHeight="1" x14ac:dyDescent="0.25">
      <c r="A6" s="136">
        <v>3</v>
      </c>
      <c r="B6" s="3"/>
      <c r="C6" s="3"/>
      <c r="D6" s="3"/>
      <c r="E6" s="6"/>
      <c r="F6" s="3"/>
      <c r="G6" s="3"/>
      <c r="H6" s="99"/>
      <c r="I6" s="3"/>
      <c r="J6" s="3"/>
      <c r="K6" s="3"/>
      <c r="L6" s="99"/>
      <c r="M6" s="3"/>
      <c r="N6" s="3"/>
      <c r="O6" s="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99"/>
      <c r="AC6" s="3"/>
      <c r="AD6" s="3"/>
      <c r="AE6" s="3"/>
      <c r="AF6" s="3"/>
      <c r="AG6" s="3"/>
      <c r="AH6" s="3"/>
      <c r="AI6" s="3"/>
      <c r="AJ6" s="3"/>
      <c r="AK6" s="3"/>
    </row>
    <row r="7" spans="1:37" ht="15" customHeight="1" x14ac:dyDescent="0.25">
      <c r="A7" s="136">
        <v>4</v>
      </c>
      <c r="B7" s="3"/>
      <c r="C7" s="3"/>
      <c r="D7" s="3"/>
      <c r="E7" s="6"/>
      <c r="F7" s="3"/>
      <c r="G7" s="3"/>
      <c r="H7" s="99"/>
      <c r="I7" s="3"/>
      <c r="J7" s="3"/>
      <c r="K7" s="3"/>
      <c r="L7" s="99"/>
      <c r="M7" s="3"/>
      <c r="N7" s="3"/>
      <c r="O7" s="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99"/>
      <c r="AC7" s="3"/>
      <c r="AD7" s="3"/>
      <c r="AE7" s="3"/>
      <c r="AF7" s="3"/>
      <c r="AG7" s="3"/>
      <c r="AH7" s="3"/>
      <c r="AI7" s="3"/>
      <c r="AJ7" s="3"/>
      <c r="AK7" s="3"/>
    </row>
    <row r="8" spans="1:37" ht="15" customHeight="1" x14ac:dyDescent="0.25">
      <c r="A8" s="136">
        <v>5</v>
      </c>
      <c r="B8" s="3"/>
      <c r="C8" s="3"/>
      <c r="D8" s="3"/>
      <c r="E8" s="6"/>
      <c r="F8" s="3"/>
      <c r="G8" s="3"/>
      <c r="H8" s="99"/>
      <c r="I8" s="3"/>
      <c r="J8" s="3"/>
      <c r="K8" s="3"/>
      <c r="L8" s="99"/>
      <c r="M8" s="3"/>
      <c r="N8" s="3"/>
      <c r="O8" s="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99"/>
      <c r="AC8" s="3"/>
      <c r="AD8" s="3"/>
      <c r="AE8" s="3"/>
      <c r="AF8" s="3"/>
      <c r="AG8" s="3"/>
      <c r="AH8" s="3"/>
      <c r="AI8" s="3"/>
      <c r="AJ8" s="3"/>
      <c r="AK8" s="3"/>
    </row>
    <row r="9" spans="1:37" ht="15" customHeight="1" x14ac:dyDescent="0.25">
      <c r="A9" s="136">
        <v>6</v>
      </c>
      <c r="B9" s="3"/>
      <c r="C9" s="3"/>
      <c r="D9" s="3"/>
      <c r="E9" s="6"/>
      <c r="F9" s="3"/>
      <c r="G9" s="3"/>
      <c r="H9" s="99"/>
      <c r="I9" s="3"/>
      <c r="J9" s="3"/>
      <c r="K9" s="3"/>
      <c r="L9" s="99"/>
      <c r="M9" s="3"/>
      <c r="N9" s="3"/>
      <c r="O9" s="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99"/>
      <c r="AC9" s="3"/>
      <c r="AD9" s="3"/>
      <c r="AE9" s="3"/>
      <c r="AF9" s="3"/>
      <c r="AG9" s="3"/>
      <c r="AH9" s="3"/>
      <c r="AI9" s="3"/>
      <c r="AJ9" s="3"/>
      <c r="AK9" s="3"/>
    </row>
    <row r="10" spans="1:37" ht="15" customHeight="1" x14ac:dyDescent="0.25">
      <c r="A10" s="136">
        <v>7</v>
      </c>
      <c r="B10" s="3"/>
      <c r="C10" s="3"/>
      <c r="D10" s="3"/>
      <c r="E10" s="6"/>
      <c r="F10" s="3"/>
      <c r="G10" s="3"/>
      <c r="H10" s="99"/>
      <c r="I10" s="3"/>
      <c r="J10" s="3"/>
      <c r="K10" s="3"/>
      <c r="L10" s="99"/>
      <c r="M10" s="3"/>
      <c r="N10" s="3"/>
      <c r="O10" s="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99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" customHeight="1" x14ac:dyDescent="0.25">
      <c r="A11" s="136">
        <v>8</v>
      </c>
      <c r="B11" s="3"/>
      <c r="C11" s="3"/>
      <c r="D11" s="3"/>
      <c r="E11" s="6"/>
      <c r="F11" s="3"/>
      <c r="G11" s="3"/>
      <c r="H11" s="99"/>
      <c r="I11" s="3"/>
      <c r="J11" s="3"/>
      <c r="K11" s="3"/>
      <c r="L11" s="99"/>
      <c r="M11" s="3"/>
      <c r="N11" s="3"/>
      <c r="O11" s="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99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" customHeight="1" x14ac:dyDescent="0.25">
      <c r="A12" s="136">
        <v>9</v>
      </c>
      <c r="B12" s="3"/>
      <c r="C12" s="3"/>
      <c r="D12" s="3"/>
      <c r="E12" s="6"/>
      <c r="F12" s="3"/>
      <c r="G12" s="3"/>
      <c r="H12" s="99"/>
      <c r="I12" s="3"/>
      <c r="J12" s="3"/>
      <c r="K12" s="3"/>
      <c r="L12" s="99"/>
      <c r="M12" s="3"/>
      <c r="N12" s="3"/>
      <c r="O12" s="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99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" customHeight="1" x14ac:dyDescent="0.25">
      <c r="A13" s="136">
        <v>10</v>
      </c>
      <c r="B13" s="3"/>
      <c r="C13" s="3"/>
      <c r="D13" s="3"/>
      <c r="E13" s="6"/>
      <c r="F13" s="3"/>
      <c r="G13" s="3"/>
      <c r="H13" s="99"/>
      <c r="I13" s="3"/>
      <c r="J13" s="3"/>
      <c r="K13" s="3"/>
      <c r="L13" s="99"/>
      <c r="M13" s="3"/>
      <c r="N13" s="3"/>
      <c r="O13" s="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99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" customHeight="1" x14ac:dyDescent="0.25">
      <c r="A14" s="136">
        <v>11</v>
      </c>
      <c r="B14" s="3"/>
      <c r="C14" s="3"/>
      <c r="D14" s="3"/>
      <c r="E14" s="6"/>
      <c r="F14" s="3"/>
      <c r="G14" s="3"/>
      <c r="H14" s="99"/>
      <c r="I14" s="3"/>
      <c r="J14" s="3"/>
      <c r="K14" s="3"/>
      <c r="L14" s="99"/>
      <c r="M14" s="3"/>
      <c r="N14" s="3"/>
      <c r="O14" s="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99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" customHeight="1" x14ac:dyDescent="0.25">
      <c r="A15" s="136">
        <v>12</v>
      </c>
      <c r="B15" s="3"/>
      <c r="C15" s="3"/>
      <c r="D15" s="3"/>
      <c r="E15" s="6"/>
      <c r="F15" s="3"/>
      <c r="G15" s="3"/>
      <c r="H15" s="99"/>
      <c r="I15" s="3"/>
      <c r="J15" s="3"/>
      <c r="K15" s="3"/>
      <c r="L15" s="99"/>
      <c r="M15" s="3"/>
      <c r="N15" s="3"/>
      <c r="O15" s="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99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" customHeight="1" x14ac:dyDescent="0.25">
      <c r="A16" s="136">
        <v>13</v>
      </c>
      <c r="B16" s="3"/>
      <c r="C16" s="3"/>
      <c r="D16" s="3"/>
      <c r="E16" s="6"/>
      <c r="F16" s="3"/>
      <c r="G16" s="3"/>
      <c r="H16" s="99"/>
      <c r="I16" s="3"/>
      <c r="J16" s="3"/>
      <c r="K16" s="3"/>
      <c r="L16" s="99"/>
      <c r="M16" s="3"/>
      <c r="N16" s="3"/>
      <c r="O16" s="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99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5" customHeight="1" x14ac:dyDescent="0.25">
      <c r="A17" s="136">
        <v>14</v>
      </c>
      <c r="B17" s="3"/>
      <c r="C17" s="3"/>
      <c r="D17" s="3"/>
      <c r="E17" s="6"/>
      <c r="F17" s="3"/>
      <c r="G17" s="3"/>
      <c r="H17" s="99"/>
      <c r="I17" s="3"/>
      <c r="J17" s="3"/>
      <c r="K17" s="3"/>
      <c r="L17" s="99"/>
      <c r="M17" s="3"/>
      <c r="N17" s="3"/>
      <c r="O17" s="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99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5" customHeight="1" x14ac:dyDescent="0.25">
      <c r="A18" s="136">
        <v>15</v>
      </c>
      <c r="B18" s="3"/>
      <c r="C18" s="3"/>
      <c r="D18" s="3"/>
      <c r="E18" s="6"/>
      <c r="F18" s="3"/>
      <c r="G18" s="3"/>
      <c r="H18" s="99"/>
      <c r="I18" s="3"/>
      <c r="J18" s="3"/>
      <c r="K18" s="3"/>
      <c r="L18" s="99"/>
      <c r="M18" s="3"/>
      <c r="N18" s="3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99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5" customHeight="1" x14ac:dyDescent="0.25">
      <c r="A19" s="136">
        <v>16</v>
      </c>
      <c r="B19" s="3"/>
      <c r="C19" s="3"/>
      <c r="D19" s="3"/>
      <c r="E19" s="6"/>
      <c r="F19" s="3"/>
      <c r="G19" s="3"/>
      <c r="H19" s="99"/>
      <c r="I19" s="3"/>
      <c r="J19" s="3"/>
      <c r="K19" s="3"/>
      <c r="L19" s="99"/>
      <c r="M19" s="3"/>
      <c r="N19" s="3"/>
      <c r="O19" s="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99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15" customHeight="1" x14ac:dyDescent="0.25">
      <c r="A20" s="136">
        <v>17</v>
      </c>
      <c r="B20" s="3"/>
      <c r="C20" s="3"/>
      <c r="D20" s="3"/>
      <c r="E20" s="6"/>
      <c r="F20" s="3"/>
      <c r="G20" s="3"/>
      <c r="H20" s="99"/>
      <c r="I20" s="3"/>
      <c r="J20" s="3"/>
      <c r="K20" s="3"/>
      <c r="L20" s="99"/>
      <c r="M20" s="3"/>
      <c r="N20" s="3"/>
      <c r="O20" s="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99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5" customHeight="1" x14ac:dyDescent="0.25">
      <c r="A21" s="136">
        <v>18</v>
      </c>
      <c r="B21" s="3"/>
      <c r="C21" s="3"/>
      <c r="D21" s="3"/>
      <c r="E21" s="6"/>
      <c r="F21" s="3"/>
      <c r="G21" s="3"/>
      <c r="H21" s="99"/>
      <c r="I21" s="3"/>
      <c r="J21" s="3"/>
      <c r="K21" s="3"/>
      <c r="L21" s="99"/>
      <c r="M21" s="3"/>
      <c r="N21" s="3"/>
      <c r="O21" s="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99"/>
      <c r="AC21" s="3"/>
      <c r="AD21" s="3"/>
      <c r="AE21" s="3"/>
      <c r="AF21" s="3"/>
      <c r="AG21" s="3"/>
      <c r="AH21" s="3"/>
      <c r="AI21" s="3"/>
      <c r="AJ21" s="3"/>
      <c r="AK21" s="3"/>
    </row>
    <row r="22" spans="1:37" ht="15" customHeight="1" x14ac:dyDescent="0.25">
      <c r="A22" s="136">
        <v>19</v>
      </c>
      <c r="B22" s="3"/>
      <c r="C22" s="3"/>
      <c r="D22" s="3"/>
      <c r="E22" s="6"/>
      <c r="F22" s="3"/>
      <c r="G22" s="3"/>
      <c r="H22" s="99"/>
      <c r="I22" s="3"/>
      <c r="J22" s="3"/>
      <c r="K22" s="3"/>
      <c r="L22" s="99"/>
      <c r="M22" s="3"/>
      <c r="N22" s="3"/>
      <c r="O22" s="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99"/>
      <c r="AC22" s="3"/>
      <c r="AD22" s="3"/>
      <c r="AE22" s="3"/>
      <c r="AF22" s="3"/>
      <c r="AG22" s="3"/>
      <c r="AH22" s="3"/>
      <c r="AI22" s="3"/>
      <c r="AJ22" s="3"/>
      <c r="AK22" s="3"/>
    </row>
    <row r="23" spans="1:37" ht="15" customHeight="1" x14ac:dyDescent="0.25">
      <c r="A23" s="136">
        <v>20</v>
      </c>
      <c r="B23" s="3"/>
      <c r="C23" s="3"/>
      <c r="D23" s="3"/>
      <c r="E23" s="6"/>
      <c r="F23" s="3"/>
      <c r="G23" s="3"/>
      <c r="H23" s="99"/>
      <c r="I23" s="3"/>
      <c r="J23" s="3"/>
      <c r="K23" s="3"/>
      <c r="L23" s="99"/>
      <c r="M23" s="3"/>
      <c r="N23" s="3"/>
      <c r="O23" s="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99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15" customHeight="1" x14ac:dyDescent="0.25">
      <c r="A24" s="136">
        <v>21</v>
      </c>
      <c r="B24" s="3"/>
      <c r="C24" s="3"/>
      <c r="D24" s="3"/>
      <c r="E24" s="6"/>
      <c r="F24" s="3"/>
      <c r="G24" s="3"/>
      <c r="H24" s="99"/>
      <c r="I24" s="3"/>
      <c r="J24" s="3"/>
      <c r="K24" s="3"/>
      <c r="L24" s="99"/>
      <c r="M24" s="3"/>
      <c r="N24" s="3"/>
      <c r="O24" s="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99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15" customHeight="1" x14ac:dyDescent="0.25">
      <c r="A25" s="136">
        <v>22</v>
      </c>
      <c r="B25" s="3"/>
      <c r="C25" s="3"/>
      <c r="D25" s="3"/>
      <c r="E25" s="6"/>
      <c r="F25" s="3"/>
      <c r="G25" s="3"/>
      <c r="H25" s="99"/>
      <c r="I25" s="3"/>
      <c r="J25" s="3"/>
      <c r="K25" s="3"/>
      <c r="L25" s="99"/>
      <c r="M25" s="3"/>
      <c r="N25" s="3"/>
      <c r="O25" s="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99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15" customHeight="1" x14ac:dyDescent="0.25">
      <c r="A26" s="136">
        <v>23</v>
      </c>
      <c r="B26" s="3"/>
      <c r="C26" s="3"/>
      <c r="D26" s="3"/>
      <c r="E26" s="6"/>
      <c r="F26" s="3"/>
      <c r="G26" s="3"/>
      <c r="H26" s="99"/>
      <c r="I26" s="3"/>
      <c r="J26" s="3"/>
      <c r="K26" s="3"/>
      <c r="L26" s="99"/>
      <c r="M26" s="3"/>
      <c r="N26" s="3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99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15" customHeight="1" x14ac:dyDescent="0.25">
      <c r="A27" s="136">
        <v>24</v>
      </c>
      <c r="B27" s="3"/>
      <c r="C27" s="3"/>
      <c r="D27" s="3"/>
      <c r="E27" s="6"/>
      <c r="F27" s="3"/>
      <c r="G27" s="3"/>
      <c r="H27" s="99"/>
      <c r="I27" s="3"/>
      <c r="J27" s="3"/>
      <c r="K27" s="3"/>
      <c r="L27" s="99"/>
      <c r="M27" s="3"/>
      <c r="N27" s="3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99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5" customHeight="1" x14ac:dyDescent="0.25">
      <c r="A28" s="136">
        <v>25</v>
      </c>
      <c r="B28" s="3"/>
      <c r="C28" s="3"/>
      <c r="D28" s="3"/>
      <c r="E28" s="6"/>
      <c r="F28" s="3"/>
      <c r="G28" s="3"/>
      <c r="H28" s="99"/>
      <c r="I28" s="3"/>
      <c r="J28" s="3"/>
      <c r="K28" s="3"/>
      <c r="L28" s="99"/>
      <c r="M28" s="3"/>
      <c r="N28" s="3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99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5" customHeight="1" x14ac:dyDescent="0.25">
      <c r="A29" s="136">
        <v>26</v>
      </c>
      <c r="B29" s="3"/>
      <c r="C29" s="3"/>
      <c r="D29" s="3"/>
      <c r="E29" s="6"/>
      <c r="F29" s="3"/>
      <c r="G29" s="3"/>
      <c r="H29" s="99"/>
      <c r="I29" s="3"/>
      <c r="J29" s="3"/>
      <c r="K29" s="3"/>
      <c r="L29" s="99"/>
      <c r="M29" s="3"/>
      <c r="N29" s="3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99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15" customHeight="1" x14ac:dyDescent="0.25">
      <c r="A30" s="136">
        <v>27</v>
      </c>
      <c r="B30" s="3"/>
      <c r="C30" s="3"/>
      <c r="D30" s="3"/>
      <c r="E30" s="6"/>
      <c r="F30" s="3"/>
      <c r="G30" s="3"/>
      <c r="H30" s="99"/>
      <c r="I30" s="3"/>
      <c r="J30" s="3"/>
      <c r="K30" s="3"/>
      <c r="L30" s="99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99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15" customHeight="1" x14ac:dyDescent="0.25">
      <c r="A31" s="136">
        <v>28</v>
      </c>
      <c r="B31" s="3"/>
      <c r="C31" s="3"/>
      <c r="D31" s="3"/>
      <c r="E31" s="6"/>
      <c r="F31" s="3"/>
      <c r="G31" s="3"/>
      <c r="H31" s="99"/>
      <c r="I31" s="3"/>
      <c r="J31" s="3"/>
      <c r="K31" s="3"/>
      <c r="L31" s="99"/>
      <c r="M31" s="3"/>
      <c r="N31" s="3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99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5" customHeight="1" x14ac:dyDescent="0.25">
      <c r="A32" s="136">
        <v>29</v>
      </c>
      <c r="B32" s="3"/>
      <c r="C32" s="3"/>
      <c r="D32" s="3"/>
      <c r="E32" s="6"/>
      <c r="F32" s="3"/>
      <c r="G32" s="3"/>
      <c r="H32" s="99"/>
      <c r="I32" s="3"/>
      <c r="J32" s="3"/>
      <c r="K32" s="3"/>
      <c r="L32" s="99"/>
      <c r="M32" s="3"/>
      <c r="N32" s="3"/>
      <c r="O32" s="6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99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15" customHeight="1" x14ac:dyDescent="0.25">
      <c r="A33" s="136">
        <v>30</v>
      </c>
      <c r="B33" s="3"/>
      <c r="C33" s="3"/>
      <c r="D33" s="3"/>
      <c r="E33" s="6"/>
      <c r="F33" s="3"/>
      <c r="G33" s="3"/>
      <c r="H33" s="99"/>
      <c r="I33" s="3"/>
      <c r="J33" s="3"/>
      <c r="K33" s="3"/>
      <c r="L33" s="99"/>
      <c r="M33" s="3"/>
      <c r="N33" s="3"/>
      <c r="O33" s="6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99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15" customHeight="1" x14ac:dyDescent="0.25">
      <c r="A34" s="136">
        <v>31</v>
      </c>
      <c r="B34" s="3"/>
      <c r="C34" s="3"/>
      <c r="D34" s="3"/>
      <c r="E34" s="6"/>
      <c r="F34" s="3"/>
      <c r="G34" s="3"/>
      <c r="H34" s="99"/>
      <c r="I34" s="3"/>
      <c r="J34" s="3"/>
      <c r="K34" s="3"/>
      <c r="L34" s="99"/>
      <c r="M34" s="3"/>
      <c r="N34" s="3"/>
      <c r="O34" s="6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99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5" customHeight="1" x14ac:dyDescent="0.25">
      <c r="A35" s="136">
        <v>32</v>
      </c>
      <c r="B35" s="3"/>
      <c r="C35" s="3"/>
      <c r="D35" s="3"/>
      <c r="E35" s="6"/>
      <c r="F35" s="3"/>
      <c r="G35" s="3"/>
      <c r="H35" s="99"/>
      <c r="I35" s="3"/>
      <c r="J35" s="3"/>
      <c r="K35" s="3"/>
      <c r="L35" s="99"/>
      <c r="M35" s="3"/>
      <c r="N35" s="3"/>
      <c r="O35" s="6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99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15" customHeight="1" x14ac:dyDescent="0.25">
      <c r="A36" s="136">
        <v>33</v>
      </c>
      <c r="B36" s="3"/>
      <c r="C36" s="3"/>
      <c r="D36" s="3"/>
      <c r="E36" s="6"/>
      <c r="F36" s="3"/>
      <c r="G36" s="3"/>
      <c r="H36" s="99"/>
      <c r="I36" s="3"/>
      <c r="J36" s="3"/>
      <c r="K36" s="3"/>
      <c r="L36" s="99"/>
      <c r="M36" s="3"/>
      <c r="N36" s="3"/>
      <c r="O36" s="6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99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5" customHeight="1" x14ac:dyDescent="0.25">
      <c r="A37" s="136">
        <v>34</v>
      </c>
      <c r="B37" s="3"/>
      <c r="C37" s="3"/>
      <c r="D37" s="3"/>
      <c r="E37" s="6"/>
      <c r="F37" s="3"/>
      <c r="G37" s="3"/>
      <c r="H37" s="99"/>
      <c r="I37" s="3"/>
      <c r="J37" s="3"/>
      <c r="K37" s="3"/>
      <c r="L37" s="99"/>
      <c r="M37" s="3"/>
      <c r="N37" s="3"/>
      <c r="O37" s="6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99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5" customHeight="1" x14ac:dyDescent="0.25">
      <c r="A38" s="136">
        <v>35</v>
      </c>
      <c r="B38" s="3"/>
      <c r="C38" s="3"/>
      <c r="D38" s="3"/>
      <c r="E38" s="6"/>
      <c r="F38" s="3"/>
      <c r="G38" s="3"/>
      <c r="H38" s="99"/>
      <c r="I38" s="3"/>
      <c r="J38" s="3"/>
      <c r="K38" s="3"/>
      <c r="L38" s="99"/>
      <c r="M38" s="3"/>
      <c r="N38" s="3"/>
      <c r="O38" s="6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99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15" customHeight="1" x14ac:dyDescent="0.25">
      <c r="A39" s="136">
        <v>36</v>
      </c>
      <c r="B39" s="3"/>
      <c r="C39" s="3"/>
      <c r="D39" s="3"/>
      <c r="E39" s="6"/>
      <c r="F39" s="3"/>
      <c r="G39" s="3"/>
      <c r="H39" s="99"/>
      <c r="I39" s="3"/>
      <c r="J39" s="3"/>
      <c r="K39" s="3"/>
      <c r="L39" s="99"/>
      <c r="M39" s="3"/>
      <c r="N39" s="3"/>
      <c r="O39" s="6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99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15" customHeight="1" x14ac:dyDescent="0.25">
      <c r="A40" s="136">
        <v>37</v>
      </c>
      <c r="B40" s="3"/>
      <c r="C40" s="3"/>
      <c r="D40" s="3"/>
      <c r="E40" s="6"/>
      <c r="F40" s="3"/>
      <c r="G40" s="3"/>
      <c r="H40" s="99"/>
      <c r="I40" s="3"/>
      <c r="J40" s="3"/>
      <c r="K40" s="3"/>
      <c r="L40" s="99"/>
      <c r="M40" s="3"/>
      <c r="N40" s="3"/>
      <c r="O40" s="6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99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15" customHeight="1" x14ac:dyDescent="0.25">
      <c r="A41" s="136">
        <v>38</v>
      </c>
      <c r="B41" s="3"/>
      <c r="C41" s="3"/>
      <c r="D41" s="3"/>
      <c r="E41" s="6"/>
      <c r="F41" s="3"/>
      <c r="G41" s="3"/>
      <c r="H41" s="99"/>
      <c r="I41" s="3"/>
      <c r="J41" s="3"/>
      <c r="K41" s="3"/>
      <c r="L41" s="99"/>
      <c r="M41" s="3"/>
      <c r="N41" s="3"/>
      <c r="O41" s="6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99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15" customHeight="1" x14ac:dyDescent="0.25">
      <c r="A42" s="136">
        <v>39</v>
      </c>
      <c r="B42" s="3"/>
      <c r="C42" s="3"/>
      <c r="D42" s="3"/>
      <c r="E42" s="6"/>
      <c r="F42" s="3"/>
      <c r="G42" s="3"/>
      <c r="H42" s="99"/>
      <c r="I42" s="3"/>
      <c r="J42" s="3"/>
      <c r="K42" s="3"/>
      <c r="L42" s="99"/>
      <c r="M42" s="3"/>
      <c r="N42" s="3"/>
      <c r="O42" s="6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99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15" customHeight="1" x14ac:dyDescent="0.25">
      <c r="A43" s="136">
        <v>40</v>
      </c>
      <c r="B43" s="3"/>
      <c r="C43" s="3"/>
      <c r="D43" s="3"/>
      <c r="E43" s="6"/>
      <c r="F43" s="3"/>
      <c r="G43" s="3"/>
      <c r="H43" s="99"/>
      <c r="I43" s="3"/>
      <c r="J43" s="3"/>
      <c r="K43" s="3"/>
      <c r="L43" s="99"/>
      <c r="M43" s="3"/>
      <c r="N43" s="3"/>
      <c r="O43" s="6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99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15" customHeight="1" x14ac:dyDescent="0.25">
      <c r="A44" s="136">
        <v>41</v>
      </c>
      <c r="B44" s="3"/>
      <c r="C44" s="3"/>
      <c r="D44" s="3"/>
      <c r="E44" s="6"/>
      <c r="F44" s="3"/>
      <c r="G44" s="3"/>
      <c r="H44" s="99"/>
      <c r="I44" s="3"/>
      <c r="J44" s="3"/>
      <c r="K44" s="3"/>
      <c r="L44" s="99"/>
      <c r="M44" s="3"/>
      <c r="N44" s="3"/>
      <c r="O44" s="6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99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5" customHeight="1" x14ac:dyDescent="0.25">
      <c r="A45" s="136">
        <v>42</v>
      </c>
      <c r="B45" s="3"/>
      <c r="C45" s="3"/>
      <c r="D45" s="3"/>
      <c r="E45" s="6"/>
      <c r="F45" s="3"/>
      <c r="G45" s="3"/>
      <c r="H45" s="99"/>
      <c r="I45" s="3"/>
      <c r="J45" s="3"/>
      <c r="K45" s="3"/>
      <c r="L45" s="99"/>
      <c r="M45" s="3"/>
      <c r="N45" s="3"/>
      <c r="O45" s="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99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15" customHeight="1" x14ac:dyDescent="0.25">
      <c r="A46" s="136">
        <v>43</v>
      </c>
      <c r="B46" s="3"/>
      <c r="C46" s="3"/>
      <c r="D46" s="3"/>
      <c r="E46" s="6"/>
      <c r="F46" s="3"/>
      <c r="G46" s="3"/>
      <c r="H46" s="99"/>
      <c r="I46" s="3"/>
      <c r="J46" s="3"/>
      <c r="K46" s="3"/>
      <c r="L46" s="99"/>
      <c r="M46" s="3"/>
      <c r="N46" s="3"/>
      <c r="O46" s="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99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15" customHeight="1" x14ac:dyDescent="0.25">
      <c r="A47" s="136">
        <v>44</v>
      </c>
      <c r="B47" s="3"/>
      <c r="C47" s="3"/>
      <c r="D47" s="3"/>
      <c r="E47" s="6"/>
      <c r="F47" s="3"/>
      <c r="G47" s="3"/>
      <c r="H47" s="99"/>
      <c r="I47" s="3"/>
      <c r="J47" s="3"/>
      <c r="K47" s="3"/>
      <c r="L47" s="99"/>
      <c r="M47" s="3"/>
      <c r="N47" s="3"/>
      <c r="O47" s="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99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5" customHeight="1" x14ac:dyDescent="0.25">
      <c r="A48" s="136">
        <v>45</v>
      </c>
      <c r="B48" s="3"/>
      <c r="C48" s="3"/>
      <c r="D48" s="3"/>
      <c r="E48" s="6"/>
      <c r="F48" s="3"/>
      <c r="G48" s="3"/>
      <c r="H48" s="99"/>
      <c r="I48" s="3"/>
      <c r="J48" s="3"/>
      <c r="K48" s="3"/>
      <c r="L48" s="99"/>
      <c r="M48" s="3"/>
      <c r="N48" s="3"/>
      <c r="O48" s="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99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5" customHeight="1" x14ac:dyDescent="0.25">
      <c r="A49" s="136">
        <v>46</v>
      </c>
      <c r="B49" s="3"/>
      <c r="C49" s="3"/>
      <c r="D49" s="3"/>
      <c r="E49" s="6"/>
      <c r="F49" s="3"/>
      <c r="G49" s="3"/>
      <c r="H49" s="99"/>
      <c r="I49" s="3"/>
      <c r="J49" s="3"/>
      <c r="K49" s="3"/>
      <c r="L49" s="99"/>
      <c r="M49" s="3"/>
      <c r="N49" s="3"/>
      <c r="O49" s="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99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5" customHeight="1" x14ac:dyDescent="0.25">
      <c r="A50" s="136">
        <v>47</v>
      </c>
      <c r="B50" s="3"/>
      <c r="C50" s="3"/>
      <c r="D50" s="3"/>
      <c r="E50" s="6"/>
      <c r="F50" s="3"/>
      <c r="G50" s="3"/>
      <c r="H50" s="99"/>
      <c r="I50" s="3"/>
      <c r="J50" s="3"/>
      <c r="K50" s="3"/>
      <c r="L50" s="99"/>
      <c r="M50" s="3"/>
      <c r="N50" s="3"/>
      <c r="O50" s="6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99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5" customHeight="1" x14ac:dyDescent="0.25">
      <c r="A51" s="136">
        <v>48</v>
      </c>
      <c r="B51" s="3"/>
      <c r="C51" s="3"/>
      <c r="D51" s="3"/>
      <c r="E51" s="6"/>
      <c r="F51" s="3"/>
      <c r="G51" s="3"/>
      <c r="H51" s="99"/>
      <c r="I51" s="3"/>
      <c r="J51" s="3"/>
      <c r="K51" s="3"/>
      <c r="L51" s="99"/>
      <c r="M51" s="3"/>
      <c r="N51" s="3"/>
      <c r="O51" s="6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99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5" customHeight="1" x14ac:dyDescent="0.25">
      <c r="A52" s="136">
        <v>49</v>
      </c>
      <c r="B52" s="3"/>
      <c r="C52" s="3"/>
      <c r="D52" s="3"/>
      <c r="E52" s="6"/>
      <c r="F52" s="3"/>
      <c r="G52" s="3"/>
      <c r="H52" s="99"/>
      <c r="I52" s="3"/>
      <c r="J52" s="3"/>
      <c r="K52" s="3"/>
      <c r="L52" s="99"/>
      <c r="M52" s="3"/>
      <c r="N52" s="3"/>
      <c r="O52" s="6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99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5.75" thickBot="1" x14ac:dyDescent="0.3">
      <c r="A53" s="142">
        <v>50</v>
      </c>
      <c r="B53" s="8"/>
      <c r="C53" s="8"/>
      <c r="D53" s="8"/>
      <c r="E53" s="7"/>
      <c r="F53" s="8"/>
      <c r="G53" s="8"/>
      <c r="H53" s="100"/>
      <c r="I53" s="8"/>
      <c r="J53" s="8"/>
      <c r="K53" s="8"/>
      <c r="L53" s="100"/>
      <c r="M53" s="3"/>
      <c r="N53" s="3"/>
      <c r="O53" s="7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100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5.75" thickBot="1" x14ac:dyDescent="0.3">
      <c r="A54" s="73"/>
      <c r="B54" s="74"/>
      <c r="C54" s="74"/>
      <c r="D54" s="75"/>
      <c r="E54" s="73"/>
      <c r="F54" s="74"/>
      <c r="G54" s="74"/>
      <c r="H54" s="75"/>
      <c r="I54" s="73"/>
      <c r="J54" s="74"/>
      <c r="K54" s="74"/>
      <c r="L54" s="75"/>
      <c r="M54" s="73"/>
      <c r="N54" s="75"/>
      <c r="O54" s="73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5"/>
      <c r="AC54" s="208"/>
      <c r="AD54" s="209"/>
      <c r="AE54" s="209"/>
      <c r="AF54" s="209"/>
      <c r="AG54" s="209"/>
      <c r="AH54" s="209"/>
      <c r="AI54" s="209"/>
      <c r="AJ54" s="209"/>
      <c r="AK54" s="210"/>
    </row>
    <row r="55" spans="1:37" x14ac:dyDescent="0.25">
      <c r="A55" s="78" t="s">
        <v>62</v>
      </c>
      <c r="B55" s="79">
        <f>COUNTBLANK(Tabla118[Edat])</f>
        <v>50</v>
      </c>
      <c r="C55" s="80">
        <f>COUNTBLANK(Tabla118[Sexe])</f>
        <v>50</v>
      </c>
      <c r="D55" s="81">
        <f>COUNTBLANK(Tabla118[Ètnia])</f>
        <v>50</v>
      </c>
      <c r="E55" s="82">
        <f>COUNTBLANK(Tabla419[Eix])</f>
        <v>50</v>
      </c>
      <c r="F55" s="80">
        <f>COUNTBLANK(Tabla419[Cilindre])</f>
        <v>50</v>
      </c>
      <c r="G55" s="80">
        <f>COUNTBLANK(Tabla419[Esfera])</f>
        <v>50</v>
      </c>
      <c r="H55" s="81">
        <f>COUNTBLANK(Tabla419[DNP])</f>
        <v>50</v>
      </c>
      <c r="I55" s="82">
        <f>COUNTBLANK(Tabla520[Eix])</f>
        <v>50</v>
      </c>
      <c r="J55" s="80">
        <f>COUNTBLANK(Tabla520[Cilindre])</f>
        <v>50</v>
      </c>
      <c r="K55" s="80">
        <f>COUNTBLANK(Tabla520[Esfera])</f>
        <v>50</v>
      </c>
      <c r="L55" s="81">
        <f>COUNTBLANK(Tabla520[DNP])</f>
        <v>50</v>
      </c>
      <c r="M55" s="82">
        <f>COUNTBLANK(Tabla7921[Adició])</f>
        <v>50</v>
      </c>
      <c r="N55" s="81">
        <f>COUNTBLANK(Tabla7921[AV bino])</f>
        <v>50</v>
      </c>
      <c r="O55" s="82">
        <f>COUNTBLANK(Tabla922[Fabricant])</f>
        <v>50</v>
      </c>
      <c r="P55" s="80">
        <f>COUNTBLANK(Tabla922[Tipus])</f>
        <v>50</v>
      </c>
      <c r="Q55" s="80">
        <f>COUNTBLANK(Tabla922[Material])</f>
        <v>50</v>
      </c>
      <c r="R55" s="80">
        <f>COUNTBLANK(Tabla922[[ n]])</f>
        <v>50</v>
      </c>
      <c r="S55" s="80">
        <f>COUNTBLANK(Tabla922[Superfície])</f>
        <v>50</v>
      </c>
      <c r="T55" s="80">
        <f>COUNTBLANK(Tabla922[Æ])</f>
        <v>50</v>
      </c>
      <c r="U55" s="80">
        <f>COUNTBLANK(Tabla922[Precal.])</f>
        <v>50</v>
      </c>
      <c r="V55" s="80">
        <f>COUNTBLANK(Tabla922[AR])</f>
        <v>50</v>
      </c>
      <c r="W55" s="80">
        <f>COUNTBLANK(Tabla922[Endurit])</f>
        <v>50</v>
      </c>
      <c r="X55" s="80">
        <f>COUNTBLANK(Tabla922[Hidròfob])</f>
        <v>50</v>
      </c>
      <c r="Y55" s="80">
        <f>COUNTBLANK(Tabla922[D])</f>
        <v>50</v>
      </c>
      <c r="Z55" s="80">
        <f>COUNTBLANK(Tabla922[Color])</f>
        <v>50</v>
      </c>
      <c r="AA55" s="80">
        <f>COUNTBLANK(Tabla922[Fotocròmic])</f>
        <v>50</v>
      </c>
      <c r="AB55" s="83">
        <f>COUNTBLANK(Tabla922[Filtre Blau])</f>
        <v>50</v>
      </c>
      <c r="AC55" s="205">
        <f>COUNTBLANK(Tabla1023[Material])</f>
        <v>50</v>
      </c>
      <c r="AD55" s="206">
        <f>COUNTBLANK(Tabla1023[L boxing])</f>
        <v>50</v>
      </c>
      <c r="AE55" s="206">
        <f>COUNTBLANK(Tabla1023[p boxing])</f>
        <v>50</v>
      </c>
      <c r="AF55" s="206">
        <f>COUNTBLANK(Tabla1023[L barnilla])</f>
        <v>50</v>
      </c>
      <c r="AG55" s="206">
        <f>COUNTBLANK(Tabla1023[q pantoscòpic])</f>
        <v>50</v>
      </c>
      <c r="AH55" s="206">
        <f>COUNTBLANK(Tabla1023[a facial])</f>
        <v>50</v>
      </c>
      <c r="AI55" s="206">
        <f>COUNTBLANK(Tabla1023[h cèrcol])</f>
        <v>50</v>
      </c>
      <c r="AJ55" s="207">
        <f>COUNTBLANK(Tabla1023[h pupilar])</f>
        <v>50</v>
      </c>
    </row>
    <row r="56" spans="1:37" ht="15.75" thickBot="1" x14ac:dyDescent="0.3">
      <c r="A56" s="88" t="s">
        <v>63</v>
      </c>
      <c r="B56" s="89">
        <f>50-B55</f>
        <v>0</v>
      </c>
      <c r="C56" s="90">
        <f t="shared" ref="C56:AA56" si="0">50-C55</f>
        <v>0</v>
      </c>
      <c r="D56" s="91">
        <f t="shared" si="0"/>
        <v>0</v>
      </c>
      <c r="E56" s="92">
        <f t="shared" si="0"/>
        <v>0</v>
      </c>
      <c r="F56" s="90">
        <f t="shared" si="0"/>
        <v>0</v>
      </c>
      <c r="G56" s="90">
        <f t="shared" si="0"/>
        <v>0</v>
      </c>
      <c r="H56" s="91">
        <f t="shared" si="0"/>
        <v>0</v>
      </c>
      <c r="I56" s="92">
        <f t="shared" si="0"/>
        <v>0</v>
      </c>
      <c r="J56" s="90">
        <f t="shared" si="0"/>
        <v>0</v>
      </c>
      <c r="K56" s="90">
        <f t="shared" si="0"/>
        <v>0</v>
      </c>
      <c r="L56" s="91">
        <f t="shared" si="0"/>
        <v>0</v>
      </c>
      <c r="M56" s="92">
        <f t="shared" si="0"/>
        <v>0</v>
      </c>
      <c r="N56" s="91">
        <f t="shared" si="0"/>
        <v>0</v>
      </c>
      <c r="O56" s="92">
        <f t="shared" si="0"/>
        <v>0</v>
      </c>
      <c r="P56" s="90">
        <f>50-P55</f>
        <v>0</v>
      </c>
      <c r="Q56" s="90">
        <f t="shared" si="0"/>
        <v>0</v>
      </c>
      <c r="R56" s="90">
        <f t="shared" si="0"/>
        <v>0</v>
      </c>
      <c r="S56" s="90">
        <f t="shared" si="0"/>
        <v>0</v>
      </c>
      <c r="T56" s="90">
        <f t="shared" si="0"/>
        <v>0</v>
      </c>
      <c r="U56" s="90">
        <f t="shared" si="0"/>
        <v>0</v>
      </c>
      <c r="V56" s="90">
        <f t="shared" si="0"/>
        <v>0</v>
      </c>
      <c r="W56" s="90">
        <f t="shared" si="0"/>
        <v>0</v>
      </c>
      <c r="X56" s="90">
        <f t="shared" si="0"/>
        <v>0</v>
      </c>
      <c r="Y56" s="90">
        <f t="shared" si="0"/>
        <v>0</v>
      </c>
      <c r="Z56" s="90">
        <f t="shared" si="0"/>
        <v>0</v>
      </c>
      <c r="AA56" s="90">
        <f t="shared" si="0"/>
        <v>0</v>
      </c>
      <c r="AB56" s="93">
        <f>50-AB55</f>
        <v>0</v>
      </c>
      <c r="AC56" s="94">
        <f>50-AC55</f>
        <v>0</v>
      </c>
      <c r="AD56" s="95">
        <f t="shared" ref="AD56:AI56" si="1">50-AD55</f>
        <v>0</v>
      </c>
      <c r="AE56" s="95">
        <f t="shared" si="1"/>
        <v>0</v>
      </c>
      <c r="AF56" s="95">
        <f t="shared" si="1"/>
        <v>0</v>
      </c>
      <c r="AG56" s="95">
        <f t="shared" si="1"/>
        <v>0</v>
      </c>
      <c r="AH56" s="95">
        <f t="shared" si="1"/>
        <v>0</v>
      </c>
      <c r="AI56" s="95">
        <f t="shared" si="1"/>
        <v>0</v>
      </c>
      <c r="AJ56" s="97">
        <f>50-AJ55</f>
        <v>0</v>
      </c>
    </row>
    <row r="57" spans="1:37" ht="15.75" thickBot="1" x14ac:dyDescent="0.3">
      <c r="A57" s="196" t="s">
        <v>64</v>
      </c>
      <c r="B57" s="197">
        <f>B56*1/50</f>
        <v>0</v>
      </c>
      <c r="C57" s="198">
        <f>C56*1/50</f>
        <v>0</v>
      </c>
      <c r="D57" s="199">
        <f t="shared" ref="D57:Z57" si="2">D56*1/50</f>
        <v>0</v>
      </c>
      <c r="E57" s="200">
        <f t="shared" si="2"/>
        <v>0</v>
      </c>
      <c r="F57" s="198">
        <f t="shared" si="2"/>
        <v>0</v>
      </c>
      <c r="G57" s="198">
        <f t="shared" si="2"/>
        <v>0</v>
      </c>
      <c r="H57" s="199">
        <f t="shared" si="2"/>
        <v>0</v>
      </c>
      <c r="I57" s="200">
        <f t="shared" si="2"/>
        <v>0</v>
      </c>
      <c r="J57" s="198">
        <f t="shared" si="2"/>
        <v>0</v>
      </c>
      <c r="K57" s="198">
        <f t="shared" si="2"/>
        <v>0</v>
      </c>
      <c r="L57" s="199">
        <f t="shared" si="2"/>
        <v>0</v>
      </c>
      <c r="M57" s="200">
        <f t="shared" si="2"/>
        <v>0</v>
      </c>
      <c r="N57" s="199">
        <f t="shared" si="2"/>
        <v>0</v>
      </c>
      <c r="O57" s="200">
        <f t="shared" si="2"/>
        <v>0</v>
      </c>
      <c r="P57" s="198">
        <f>P56*1/50</f>
        <v>0</v>
      </c>
      <c r="Q57" s="198">
        <f t="shared" si="2"/>
        <v>0</v>
      </c>
      <c r="R57" s="198">
        <f t="shared" si="2"/>
        <v>0</v>
      </c>
      <c r="S57" s="198">
        <f t="shared" si="2"/>
        <v>0</v>
      </c>
      <c r="T57" s="198">
        <f t="shared" si="2"/>
        <v>0</v>
      </c>
      <c r="U57" s="198">
        <f t="shared" si="2"/>
        <v>0</v>
      </c>
      <c r="V57" s="198">
        <f t="shared" si="2"/>
        <v>0</v>
      </c>
      <c r="W57" s="198">
        <f t="shared" si="2"/>
        <v>0</v>
      </c>
      <c r="X57" s="198">
        <f t="shared" si="2"/>
        <v>0</v>
      </c>
      <c r="Y57" s="198">
        <f t="shared" si="2"/>
        <v>0</v>
      </c>
      <c r="Z57" s="198">
        <f t="shared" si="2"/>
        <v>0</v>
      </c>
      <c r="AA57" s="198">
        <f>AA56*1/50</f>
        <v>0</v>
      </c>
      <c r="AB57" s="201">
        <f>AB56*1/50</f>
        <v>0</v>
      </c>
      <c r="AC57" s="202">
        <f>AC56*1/50</f>
        <v>0</v>
      </c>
      <c r="AD57" s="203">
        <f t="shared" ref="AD57:AI57" si="3">AD56*1/50</f>
        <v>0</v>
      </c>
      <c r="AE57" s="203">
        <f t="shared" si="3"/>
        <v>0</v>
      </c>
      <c r="AF57" s="203">
        <f t="shared" si="3"/>
        <v>0</v>
      </c>
      <c r="AG57" s="203">
        <f t="shared" si="3"/>
        <v>0</v>
      </c>
      <c r="AH57" s="203">
        <f t="shared" si="3"/>
        <v>0</v>
      </c>
      <c r="AI57" s="203">
        <f t="shared" si="3"/>
        <v>0</v>
      </c>
      <c r="AJ57" s="204">
        <f>AJ56*1/50</f>
        <v>0</v>
      </c>
    </row>
  </sheetData>
  <sheetProtection selectLockedCells="1"/>
  <mergeCells count="6">
    <mergeCell ref="O1:AB2"/>
    <mergeCell ref="AC1:AK2"/>
    <mergeCell ref="A1:D2"/>
    <mergeCell ref="E2:H2"/>
    <mergeCell ref="I2:L2"/>
    <mergeCell ref="E1:N1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00000000-0002-0000-0200-000000000000}">
          <x14:formula1>
            <xm:f>CRITERIS!$G$3:$G$45</xm:f>
          </x14:formula1>
          <xm:sqref>H4:H53 L4:L53</xm:sqref>
        </x14:dataValidation>
        <x14:dataValidation type="list" allowBlank="1" showInputMessage="1" showErrorMessage="1" xr:uid="{00000000-0002-0000-0200-000001000000}">
          <x14:formula1>
            <xm:f>CRITERIS!$F$3:$F$164</xm:f>
          </x14:formula1>
          <xm:sqref>G4:G53 K4:K53</xm:sqref>
        </x14:dataValidation>
        <x14:dataValidation type="list" allowBlank="1" showInputMessage="1" showErrorMessage="1" xr:uid="{00000000-0002-0000-0200-000002000000}">
          <x14:formula1>
            <xm:f>CRITERIS!$D$3:$D$182</xm:f>
          </x14:formula1>
          <xm:sqref>E4:E53 I4:I53</xm:sqref>
        </x14:dataValidation>
        <x14:dataValidation type="list" allowBlank="1" showInputMessage="1" showErrorMessage="1" xr:uid="{00000000-0002-0000-0200-000003000000}">
          <x14:formula1>
            <xm:f>CRITERIS!$E$3:$E$27</xm:f>
          </x14:formula1>
          <xm:sqref>J4:J53 F4:F53</xm:sqref>
        </x14:dataValidation>
        <x14:dataValidation type="list" allowBlank="1" showInputMessage="1" showErrorMessage="1" xr:uid="{00000000-0002-0000-0200-000004000000}">
          <x14:formula1>
            <xm:f>CRITERIS!$C$3:$C$8</xm:f>
          </x14:formula1>
          <xm:sqref>D4:D53</xm:sqref>
        </x14:dataValidation>
        <x14:dataValidation type="list" allowBlank="1" showInputMessage="1" showErrorMessage="1" xr:uid="{00000000-0002-0000-0200-000005000000}">
          <x14:formula1>
            <xm:f>CRITERIS!$B$3:$B$5</xm:f>
          </x14:formula1>
          <xm:sqref>C4:C53</xm:sqref>
        </x14:dataValidation>
        <x14:dataValidation type="list" allowBlank="1" showInputMessage="1" showErrorMessage="1" xr:uid="{00000000-0002-0000-0200-000006000000}">
          <x14:formula1>
            <xm:f>CRITERIS!$A$3:$A$104</xm:f>
          </x14:formula1>
          <xm:sqref>B4:B53</xm:sqref>
        </x14:dataValidation>
        <x14:dataValidation type="list" allowBlank="1" showInputMessage="1" showErrorMessage="1" xr:uid="{00000000-0002-0000-0200-000007000000}">
          <x14:formula1>
            <xm:f>CRITERIS!$H$3:$H$14</xm:f>
          </x14:formula1>
          <xm:sqref>M4:M53</xm:sqref>
        </x14:dataValidation>
        <x14:dataValidation type="list" allowBlank="1" showInputMessage="1" showErrorMessage="1" xr:uid="{00000000-0002-0000-0200-000008000000}">
          <x14:formula1>
            <xm:f>CRITERIS!$J$3:$J$15</xm:f>
          </x14:formula1>
          <xm:sqref>N4:N53</xm:sqref>
        </x14:dataValidation>
        <x14:dataValidation type="list" allowBlank="1" showInputMessage="1" showErrorMessage="1" xr:uid="{00000000-0002-0000-0200-000009000000}">
          <x14:formula1>
            <xm:f>CRITERIS!$Z$3:$Z$35</xm:f>
          </x14:formula1>
          <xm:sqref>AJ4:AK53</xm:sqref>
        </x14:dataValidation>
        <x14:dataValidation type="list" allowBlank="1" showInputMessage="1" showErrorMessage="1" xr:uid="{00000000-0002-0000-0200-00000A000000}">
          <x14:formula1>
            <xm:f>CRITERIS!$Y$3:$Y$35</xm:f>
          </x14:formula1>
          <xm:sqref>AI4:AI53</xm:sqref>
        </x14:dataValidation>
        <x14:dataValidation type="list" allowBlank="1" showInputMessage="1" showErrorMessage="1" xr:uid="{00000000-0002-0000-0200-00000B000000}">
          <x14:formula1>
            <xm:f>CRITERIS!$X$3:$X$30</xm:f>
          </x14:formula1>
          <xm:sqref>AH4:AH53</xm:sqref>
        </x14:dataValidation>
        <x14:dataValidation type="list" allowBlank="1" showInputMessage="1" showErrorMessage="1" xr:uid="{00000000-0002-0000-0200-00000C000000}">
          <x14:formula1>
            <xm:f>CRITERIS!$W$3:$W$15</xm:f>
          </x14:formula1>
          <xm:sqref>AG4:AG53</xm:sqref>
        </x14:dataValidation>
        <x14:dataValidation type="list" allowBlank="1" showInputMessage="1" showErrorMessage="1" xr:uid="{00000000-0002-0000-0200-00000D000000}">
          <x14:formula1>
            <xm:f>CRITERIS!$V$3:$V$13</xm:f>
          </x14:formula1>
          <xm:sqref>AF4:AF53</xm:sqref>
        </x14:dataValidation>
        <x14:dataValidation type="list" allowBlank="1" showInputMessage="1" showErrorMessage="1" xr:uid="{00000000-0002-0000-0200-00000E000000}">
          <x14:formula1>
            <xm:f>CRITERIS!$U$3:$U$20</xm:f>
          </x14:formula1>
          <xm:sqref>AE4:AE53</xm:sqref>
        </x14:dataValidation>
        <x14:dataValidation type="list" allowBlank="1" showInputMessage="1" showErrorMessage="1" xr:uid="{00000000-0002-0000-0200-00000F000000}">
          <x14:formula1>
            <xm:f>CRITERIS!$T$3:$T$30</xm:f>
          </x14:formula1>
          <xm:sqref>AD4:AD53</xm:sqref>
        </x14:dataValidation>
        <x14:dataValidation type="list" allowBlank="1" showInputMessage="1" showErrorMessage="1" xr:uid="{00000000-0002-0000-0200-000010000000}">
          <x14:formula1>
            <xm:f>CRITERIS!$S$3:$S$6</xm:f>
          </x14:formula1>
          <xm:sqref>AC4:AC53</xm:sqref>
        </x14:dataValidation>
        <x14:dataValidation type="list" allowBlank="1" showInputMessage="1" showErrorMessage="1" xr:uid="{00000000-0002-0000-0200-000011000000}">
          <x14:formula1>
            <xm:f>CRITERIS!$R$3:$R$4</xm:f>
          </x14:formula1>
          <xm:sqref>U4:AB53</xm:sqref>
        </x14:dataValidation>
        <x14:dataValidation type="list" allowBlank="1" showInputMessage="1" showErrorMessage="1" xr:uid="{00000000-0002-0000-0200-000012000000}">
          <x14:formula1>
            <xm:f>CRITERIS!$Q$3:$Q$10</xm:f>
          </x14:formula1>
          <xm:sqref>T4:T53</xm:sqref>
        </x14:dataValidation>
        <x14:dataValidation type="list" allowBlank="1" showInputMessage="1" showErrorMessage="1" xr:uid="{00000000-0002-0000-0200-000013000000}">
          <x14:formula1>
            <xm:f>CRITERIS!$O$5:$O$6</xm:f>
          </x14:formula1>
          <xm:sqref>S4:S53</xm:sqref>
        </x14:dataValidation>
        <x14:dataValidation type="list" allowBlank="1" showInputMessage="1" showErrorMessage="1" xr:uid="{00000000-0002-0000-0200-000014000000}">
          <x14:formula1>
            <xm:f>CRITERIS!$N$3:$N$7</xm:f>
          </x14:formula1>
          <xm:sqref>R4:R53</xm:sqref>
        </x14:dataValidation>
        <x14:dataValidation type="list" allowBlank="1" showInputMessage="1" showErrorMessage="1" xr:uid="{00000000-0002-0000-0200-000015000000}">
          <x14:formula1>
            <xm:f>CRITERIS!$M$3:$M$5</xm:f>
          </x14:formula1>
          <xm:sqref>Q4:Q53</xm:sqref>
        </x14:dataValidation>
        <x14:dataValidation type="list" allowBlank="1" showInputMessage="1" showErrorMessage="1" xr:uid="{00000000-0002-0000-0200-000016000000}">
          <x14:formula1>
            <xm:f>CRITERIS!$K$3:$K$12</xm:f>
          </x14:formula1>
          <xm:sqref>O4:O53</xm:sqref>
        </x14:dataValidation>
        <x14:dataValidation type="list" allowBlank="1" showInputMessage="1" showErrorMessage="1" xr:uid="{00000000-0002-0000-0200-000017000000}">
          <x14:formula1>
            <xm:f>CRITERIS!$L$3:$L$5</xm:f>
          </x14:formula1>
          <xm:sqref>P4:P53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S57"/>
  <sheetViews>
    <sheetView workbookViewId="0">
      <selection activeCell="U11" sqref="U11"/>
    </sheetView>
  </sheetViews>
  <sheetFormatPr baseColWidth="10" defaultRowHeight="15" x14ac:dyDescent="0.25"/>
  <cols>
    <col min="1" max="1" width="7.42578125" customWidth="1"/>
    <col min="2" max="2" width="8.7109375" customWidth="1"/>
    <col min="5" max="10" width="8.7109375" customWidth="1"/>
    <col min="13" max="17" width="8.7109375" customWidth="1"/>
    <col min="18" max="18" width="15.5703125" customWidth="1"/>
    <col min="19" max="19" width="38.85546875" customWidth="1"/>
  </cols>
  <sheetData>
    <row r="1" spans="1:19" ht="15" customHeight="1" thickBot="1" x14ac:dyDescent="0.3">
      <c r="A1" s="101"/>
      <c r="B1" s="230" t="s">
        <v>11</v>
      </c>
      <c r="C1" s="231"/>
      <c r="D1" s="231"/>
      <c r="E1" s="231"/>
      <c r="F1" s="231"/>
      <c r="G1" s="231"/>
      <c r="H1" s="231"/>
      <c r="I1" s="231"/>
      <c r="J1" s="227" t="s">
        <v>10</v>
      </c>
      <c r="K1" s="228"/>
      <c r="L1" s="228"/>
      <c r="M1" s="228"/>
      <c r="N1" s="228"/>
      <c r="O1" s="228"/>
      <c r="P1" s="228"/>
      <c r="Q1" s="228"/>
      <c r="R1" s="220" t="s">
        <v>107</v>
      </c>
      <c r="S1" s="222" t="s">
        <v>108</v>
      </c>
    </row>
    <row r="2" spans="1:19" ht="15" customHeight="1" thickBot="1" x14ac:dyDescent="0.3">
      <c r="A2" s="102"/>
      <c r="B2" s="212"/>
      <c r="C2" s="213"/>
      <c r="D2" s="213"/>
      <c r="E2" s="213"/>
      <c r="F2" s="214"/>
      <c r="G2" s="232" t="s">
        <v>101</v>
      </c>
      <c r="H2" s="233"/>
      <c r="I2" s="234"/>
      <c r="J2" s="227"/>
      <c r="K2" s="228"/>
      <c r="L2" s="228"/>
      <c r="M2" s="228"/>
      <c r="N2" s="229"/>
      <c r="O2" s="224" t="s">
        <v>101</v>
      </c>
      <c r="P2" s="225"/>
      <c r="Q2" s="226"/>
      <c r="R2" s="221"/>
      <c r="S2" s="223"/>
    </row>
    <row r="3" spans="1:19" ht="15.75" customHeight="1" thickBot="1" x14ac:dyDescent="0.3">
      <c r="A3" s="103" t="s">
        <v>18</v>
      </c>
      <c r="B3" s="58" t="s">
        <v>22</v>
      </c>
      <c r="C3" s="59" t="s">
        <v>23</v>
      </c>
      <c r="D3" s="59" t="s">
        <v>24</v>
      </c>
      <c r="E3" s="59" t="s">
        <v>13</v>
      </c>
      <c r="F3" s="59" t="s">
        <v>104</v>
      </c>
      <c r="G3" s="104" t="s">
        <v>22</v>
      </c>
      <c r="H3" s="105" t="s">
        <v>102</v>
      </c>
      <c r="I3" s="105" t="s">
        <v>103</v>
      </c>
      <c r="J3" s="54" t="s">
        <v>22</v>
      </c>
      <c r="K3" s="56" t="s">
        <v>23</v>
      </c>
      <c r="L3" s="56" t="s">
        <v>24</v>
      </c>
      <c r="M3" s="56" t="s">
        <v>13</v>
      </c>
      <c r="N3" s="57" t="s">
        <v>104</v>
      </c>
      <c r="O3" s="104" t="s">
        <v>22</v>
      </c>
      <c r="P3" s="105" t="s">
        <v>102</v>
      </c>
      <c r="Q3" s="106" t="s">
        <v>103</v>
      </c>
      <c r="R3" s="104" t="s">
        <v>109</v>
      </c>
      <c r="S3" s="107" t="s">
        <v>119</v>
      </c>
    </row>
    <row r="4" spans="1:19" x14ac:dyDescent="0.25">
      <c r="A4" s="137">
        <v>1</v>
      </c>
      <c r="B4" s="68">
        <f>Tabla419[[#This Row],[Eix]]</f>
        <v>0</v>
      </c>
      <c r="C4" s="69">
        <f>Tabla419[[#This Row],[Cilindre]]</f>
        <v>0</v>
      </c>
      <c r="D4" s="69">
        <f>Tabla419[[#This Row],[Esfera]]</f>
        <v>0</v>
      </c>
      <c r="E4" s="69">
        <f>Tabla419[[#This Row],[DNP]]</f>
        <v>0</v>
      </c>
      <c r="F4" s="69">
        <f>Tabla1023[[#This Row],[h pupilar]]</f>
        <v>0</v>
      </c>
      <c r="G4" s="120"/>
      <c r="H4" s="121"/>
      <c r="I4" s="121"/>
      <c r="J4" s="67">
        <f>Tabla520[[#This Row],[Eix]]</f>
        <v>0</v>
      </c>
      <c r="K4" s="67">
        <f>Tabla520[[#This Row],[Cilindre]]</f>
        <v>0</v>
      </c>
      <c r="L4" s="67">
        <f>Tabla520[[#This Row],[Esfera]]</f>
        <v>0</v>
      </c>
      <c r="M4" s="67">
        <f>Tabla520[[#This Row],[DNP]]</f>
        <v>0</v>
      </c>
      <c r="N4" s="67">
        <f>Tabla1023[[#This Row],[h pupilar]]</f>
        <v>0</v>
      </c>
      <c r="O4" s="120"/>
      <c r="P4" s="121"/>
      <c r="Q4" s="128"/>
      <c r="R4" s="123"/>
      <c r="S4" s="129"/>
    </row>
    <row r="5" spans="1:19" x14ac:dyDescent="0.25">
      <c r="A5" s="138">
        <v>2</v>
      </c>
      <c r="B5" s="70">
        <f>Tabla419[[#This Row],[Eix]]</f>
        <v>0</v>
      </c>
      <c r="C5" s="67">
        <f>Tabla419[[#This Row],[Cilindre]]</f>
        <v>0</v>
      </c>
      <c r="D5" s="67">
        <f>Tabla419[[#This Row],[Esfera]]</f>
        <v>0</v>
      </c>
      <c r="E5" s="67">
        <f>Tabla419[[#This Row],[DNP]]</f>
        <v>0</v>
      </c>
      <c r="F5" s="67">
        <f>Tabla1023[[#This Row],[h pupilar]]</f>
        <v>0</v>
      </c>
      <c r="G5" s="122"/>
      <c r="H5" s="123"/>
      <c r="I5" s="124"/>
      <c r="J5" s="67">
        <f>Tabla520[[#This Row],[Eix]]</f>
        <v>0</v>
      </c>
      <c r="K5" s="67">
        <f>Tabla520[[#This Row],[Cilindre]]</f>
        <v>0</v>
      </c>
      <c r="L5" s="67">
        <f>Tabla520[[#This Row],[Esfera]]</f>
        <v>0</v>
      </c>
      <c r="M5" s="67">
        <f>Tabla520[[#This Row],[DNP]]</f>
        <v>0</v>
      </c>
      <c r="N5" s="67">
        <f>Tabla1023[[#This Row],[h pupilar]]</f>
        <v>0</v>
      </c>
      <c r="O5" s="122"/>
      <c r="P5" s="123"/>
      <c r="Q5" s="124"/>
      <c r="R5" s="123"/>
      <c r="S5" s="129"/>
    </row>
    <row r="6" spans="1:19" x14ac:dyDescent="0.25">
      <c r="A6" s="139">
        <v>3</v>
      </c>
      <c r="B6" s="70">
        <f>Tabla419[[#This Row],[Eix]]</f>
        <v>0</v>
      </c>
      <c r="C6" s="67">
        <f>Tabla419[[#This Row],[Cilindre]]</f>
        <v>0</v>
      </c>
      <c r="D6" s="67">
        <f>Tabla419[[#This Row],[Esfera]]</f>
        <v>0</v>
      </c>
      <c r="E6" s="67">
        <f>Tabla419[[#This Row],[DNP]]</f>
        <v>0</v>
      </c>
      <c r="F6" s="67">
        <f>Tabla1023[[#This Row],[h pupilar]]</f>
        <v>0</v>
      </c>
      <c r="G6" s="122"/>
      <c r="H6" s="123"/>
      <c r="I6" s="124"/>
      <c r="J6" s="67">
        <f>Tabla520[[#This Row],[Eix]]</f>
        <v>0</v>
      </c>
      <c r="K6" s="67">
        <f>Tabla520[[#This Row],[Cilindre]]</f>
        <v>0</v>
      </c>
      <c r="L6" s="67">
        <f>Tabla520[[#This Row],[Esfera]]</f>
        <v>0</v>
      </c>
      <c r="M6" s="67">
        <f>Tabla520[[#This Row],[DNP]]</f>
        <v>0</v>
      </c>
      <c r="N6" s="67">
        <f>Tabla1023[[#This Row],[h pupilar]]</f>
        <v>0</v>
      </c>
      <c r="O6" s="122"/>
      <c r="P6" s="123"/>
      <c r="Q6" s="124"/>
      <c r="R6" s="123"/>
      <c r="S6" s="129"/>
    </row>
    <row r="7" spans="1:19" x14ac:dyDescent="0.25">
      <c r="A7" s="138">
        <v>4</v>
      </c>
      <c r="B7" s="70">
        <f>Tabla419[[#This Row],[Eix]]</f>
        <v>0</v>
      </c>
      <c r="C7" s="67">
        <f>Tabla419[[#This Row],[Cilindre]]</f>
        <v>0</v>
      </c>
      <c r="D7" s="67">
        <f>Tabla419[[#This Row],[Esfera]]</f>
        <v>0</v>
      </c>
      <c r="E7" s="67">
        <f>Tabla419[[#This Row],[DNP]]</f>
        <v>0</v>
      </c>
      <c r="F7" s="67">
        <f>Tabla1023[[#This Row],[h pupilar]]</f>
        <v>0</v>
      </c>
      <c r="G7" s="122"/>
      <c r="H7" s="123"/>
      <c r="I7" s="124"/>
      <c r="J7" s="67">
        <f>Tabla520[[#This Row],[Eix]]</f>
        <v>0</v>
      </c>
      <c r="K7" s="67">
        <f>Tabla520[[#This Row],[Cilindre]]</f>
        <v>0</v>
      </c>
      <c r="L7" s="67">
        <f>Tabla520[[#This Row],[Esfera]]</f>
        <v>0</v>
      </c>
      <c r="M7" s="67">
        <f>Tabla520[[#This Row],[DNP]]</f>
        <v>0</v>
      </c>
      <c r="N7" s="67">
        <f>Tabla1023[[#This Row],[h pupilar]]</f>
        <v>0</v>
      </c>
      <c r="O7" s="122"/>
      <c r="P7" s="123"/>
      <c r="Q7" s="124"/>
      <c r="R7" s="123"/>
      <c r="S7" s="129"/>
    </row>
    <row r="8" spans="1:19" x14ac:dyDescent="0.25">
      <c r="A8" s="139">
        <v>5</v>
      </c>
      <c r="B8" s="70">
        <f>Tabla419[[#This Row],[Eix]]</f>
        <v>0</v>
      </c>
      <c r="C8" s="67">
        <f>Tabla419[[#This Row],[Cilindre]]</f>
        <v>0</v>
      </c>
      <c r="D8" s="67">
        <f>Tabla419[[#This Row],[Esfera]]</f>
        <v>0</v>
      </c>
      <c r="E8" s="67">
        <f>Tabla419[[#This Row],[DNP]]</f>
        <v>0</v>
      </c>
      <c r="F8" s="67">
        <f>Tabla1023[[#This Row],[h pupilar]]</f>
        <v>0</v>
      </c>
      <c r="G8" s="122"/>
      <c r="H8" s="123"/>
      <c r="I8" s="124"/>
      <c r="J8" s="67">
        <f>Tabla520[[#This Row],[Eix]]</f>
        <v>0</v>
      </c>
      <c r="K8" s="67">
        <f>Tabla520[[#This Row],[Cilindre]]</f>
        <v>0</v>
      </c>
      <c r="L8" s="67">
        <f>Tabla520[[#This Row],[Esfera]]</f>
        <v>0</v>
      </c>
      <c r="M8" s="67">
        <f>Tabla520[[#This Row],[DNP]]</f>
        <v>0</v>
      </c>
      <c r="N8" s="67">
        <f>Tabla1023[[#This Row],[h pupilar]]</f>
        <v>0</v>
      </c>
      <c r="O8" s="122"/>
      <c r="P8" s="123"/>
      <c r="Q8" s="124"/>
      <c r="R8" s="123"/>
      <c r="S8" s="129"/>
    </row>
    <row r="9" spans="1:19" x14ac:dyDescent="0.25">
      <c r="A9" s="138">
        <v>6</v>
      </c>
      <c r="B9" s="70">
        <f>Tabla419[[#This Row],[Eix]]</f>
        <v>0</v>
      </c>
      <c r="C9" s="67">
        <f>Tabla419[[#This Row],[Cilindre]]</f>
        <v>0</v>
      </c>
      <c r="D9" s="67">
        <f>Tabla419[[#This Row],[Esfera]]</f>
        <v>0</v>
      </c>
      <c r="E9" s="67">
        <f>Tabla419[[#This Row],[DNP]]</f>
        <v>0</v>
      </c>
      <c r="F9" s="67">
        <f>Tabla1023[[#This Row],[h pupilar]]</f>
        <v>0</v>
      </c>
      <c r="G9" s="122"/>
      <c r="H9" s="123"/>
      <c r="I9" s="124"/>
      <c r="J9" s="67">
        <f>Tabla520[[#This Row],[Eix]]</f>
        <v>0</v>
      </c>
      <c r="K9" s="67">
        <f>Tabla520[[#This Row],[Cilindre]]</f>
        <v>0</v>
      </c>
      <c r="L9" s="67">
        <f>Tabla520[[#This Row],[Esfera]]</f>
        <v>0</v>
      </c>
      <c r="M9" s="67">
        <f>Tabla520[[#This Row],[DNP]]</f>
        <v>0</v>
      </c>
      <c r="N9" s="67">
        <f>Tabla1023[[#This Row],[h pupilar]]</f>
        <v>0</v>
      </c>
      <c r="O9" s="122"/>
      <c r="P9" s="123"/>
      <c r="Q9" s="124"/>
      <c r="R9" s="123"/>
      <c r="S9" s="129"/>
    </row>
    <row r="10" spans="1:19" x14ac:dyDescent="0.25">
      <c r="A10" s="139">
        <v>7</v>
      </c>
      <c r="B10" s="70">
        <f>Tabla419[[#This Row],[Eix]]</f>
        <v>0</v>
      </c>
      <c r="C10" s="67">
        <f>Tabla419[[#This Row],[Cilindre]]</f>
        <v>0</v>
      </c>
      <c r="D10" s="67">
        <f>Tabla419[[#This Row],[Esfera]]</f>
        <v>0</v>
      </c>
      <c r="E10" s="67">
        <f>Tabla419[[#This Row],[DNP]]</f>
        <v>0</v>
      </c>
      <c r="F10" s="67">
        <f>Tabla1023[[#This Row],[h pupilar]]</f>
        <v>0</v>
      </c>
      <c r="G10" s="122"/>
      <c r="H10" s="123"/>
      <c r="I10" s="124"/>
      <c r="J10" s="67">
        <f>Tabla520[[#This Row],[Eix]]</f>
        <v>0</v>
      </c>
      <c r="K10" s="67">
        <f>Tabla520[[#This Row],[Cilindre]]</f>
        <v>0</v>
      </c>
      <c r="L10" s="67">
        <f>Tabla520[[#This Row],[Esfera]]</f>
        <v>0</v>
      </c>
      <c r="M10" s="67">
        <f>Tabla520[[#This Row],[DNP]]</f>
        <v>0</v>
      </c>
      <c r="N10" s="67">
        <f>Tabla1023[[#This Row],[h pupilar]]</f>
        <v>0</v>
      </c>
      <c r="O10" s="122"/>
      <c r="P10" s="123"/>
      <c r="Q10" s="124"/>
      <c r="R10" s="123"/>
      <c r="S10" s="129"/>
    </row>
    <row r="11" spans="1:19" x14ac:dyDescent="0.25">
      <c r="A11" s="138">
        <v>8</v>
      </c>
      <c r="B11" s="70">
        <f>Tabla419[[#This Row],[Eix]]</f>
        <v>0</v>
      </c>
      <c r="C11" s="67">
        <f>Tabla419[[#This Row],[Cilindre]]</f>
        <v>0</v>
      </c>
      <c r="D11" s="67">
        <f>Tabla419[[#This Row],[Esfera]]</f>
        <v>0</v>
      </c>
      <c r="E11" s="67">
        <f>Tabla419[[#This Row],[DNP]]</f>
        <v>0</v>
      </c>
      <c r="F11" s="67">
        <f>Tabla1023[[#This Row],[h pupilar]]</f>
        <v>0</v>
      </c>
      <c r="G11" s="122"/>
      <c r="H11" s="123"/>
      <c r="I11" s="124"/>
      <c r="J11" s="67">
        <f>Tabla520[[#This Row],[Eix]]</f>
        <v>0</v>
      </c>
      <c r="K11" s="67">
        <f>Tabla520[[#This Row],[Cilindre]]</f>
        <v>0</v>
      </c>
      <c r="L11" s="67">
        <f>Tabla520[[#This Row],[Esfera]]</f>
        <v>0</v>
      </c>
      <c r="M11" s="67">
        <f>Tabla520[[#This Row],[DNP]]</f>
        <v>0</v>
      </c>
      <c r="N11" s="67">
        <f>Tabla1023[[#This Row],[h pupilar]]</f>
        <v>0</v>
      </c>
      <c r="O11" s="122"/>
      <c r="P11" s="123"/>
      <c r="Q11" s="124"/>
      <c r="R11" s="123"/>
      <c r="S11" s="129"/>
    </row>
    <row r="12" spans="1:19" x14ac:dyDescent="0.25">
      <c r="A12" s="139">
        <v>9</v>
      </c>
      <c r="B12" s="70">
        <f>Tabla419[[#This Row],[Eix]]</f>
        <v>0</v>
      </c>
      <c r="C12" s="67">
        <f>Tabla419[[#This Row],[Cilindre]]</f>
        <v>0</v>
      </c>
      <c r="D12" s="67">
        <f>Tabla419[[#This Row],[Esfera]]</f>
        <v>0</v>
      </c>
      <c r="E12" s="67">
        <f>Tabla419[[#This Row],[DNP]]</f>
        <v>0</v>
      </c>
      <c r="F12" s="67">
        <f>Tabla1023[[#This Row],[h pupilar]]</f>
        <v>0</v>
      </c>
      <c r="G12" s="122"/>
      <c r="H12" s="123"/>
      <c r="I12" s="124"/>
      <c r="J12" s="67">
        <f>Tabla520[[#This Row],[Eix]]</f>
        <v>0</v>
      </c>
      <c r="K12" s="67">
        <f>Tabla520[[#This Row],[Cilindre]]</f>
        <v>0</v>
      </c>
      <c r="L12" s="67">
        <f>Tabla520[[#This Row],[Esfera]]</f>
        <v>0</v>
      </c>
      <c r="M12" s="67">
        <f>Tabla520[[#This Row],[DNP]]</f>
        <v>0</v>
      </c>
      <c r="N12" s="67">
        <f>Tabla1023[[#This Row],[h pupilar]]</f>
        <v>0</v>
      </c>
      <c r="O12" s="122"/>
      <c r="P12" s="123"/>
      <c r="Q12" s="124"/>
      <c r="R12" s="123"/>
      <c r="S12" s="129"/>
    </row>
    <row r="13" spans="1:19" x14ac:dyDescent="0.25">
      <c r="A13" s="138">
        <v>10</v>
      </c>
      <c r="B13" s="70">
        <f>Tabla419[[#This Row],[Eix]]</f>
        <v>0</v>
      </c>
      <c r="C13" s="67">
        <f>Tabla419[[#This Row],[Cilindre]]</f>
        <v>0</v>
      </c>
      <c r="D13" s="67">
        <f>Tabla419[[#This Row],[Esfera]]</f>
        <v>0</v>
      </c>
      <c r="E13" s="67">
        <f>Tabla419[[#This Row],[DNP]]</f>
        <v>0</v>
      </c>
      <c r="F13" s="67">
        <f>Tabla1023[[#This Row],[h pupilar]]</f>
        <v>0</v>
      </c>
      <c r="G13" s="122"/>
      <c r="H13" s="123"/>
      <c r="I13" s="124"/>
      <c r="J13" s="67">
        <f>Tabla520[[#This Row],[Eix]]</f>
        <v>0</v>
      </c>
      <c r="K13" s="67">
        <f>Tabla520[[#This Row],[Cilindre]]</f>
        <v>0</v>
      </c>
      <c r="L13" s="67">
        <f>Tabla520[[#This Row],[Esfera]]</f>
        <v>0</v>
      </c>
      <c r="M13" s="67">
        <f>Tabla520[[#This Row],[DNP]]</f>
        <v>0</v>
      </c>
      <c r="N13" s="67">
        <f>Tabla1023[[#This Row],[h pupilar]]</f>
        <v>0</v>
      </c>
      <c r="O13" s="122"/>
      <c r="P13" s="123"/>
      <c r="Q13" s="124"/>
      <c r="R13" s="123"/>
      <c r="S13" s="129"/>
    </row>
    <row r="14" spans="1:19" x14ac:dyDescent="0.25">
      <c r="A14" s="139">
        <v>11</v>
      </c>
      <c r="B14" s="70">
        <f>Tabla419[[#This Row],[Eix]]</f>
        <v>0</v>
      </c>
      <c r="C14" s="67">
        <f>Tabla419[[#This Row],[Cilindre]]</f>
        <v>0</v>
      </c>
      <c r="D14" s="67">
        <f>Tabla419[[#This Row],[Esfera]]</f>
        <v>0</v>
      </c>
      <c r="E14" s="67">
        <f>Tabla419[[#This Row],[DNP]]</f>
        <v>0</v>
      </c>
      <c r="F14" s="67">
        <f>Tabla1023[[#This Row],[h pupilar]]</f>
        <v>0</v>
      </c>
      <c r="G14" s="122"/>
      <c r="H14" s="123"/>
      <c r="I14" s="124"/>
      <c r="J14" s="67">
        <f>Tabla520[[#This Row],[Eix]]</f>
        <v>0</v>
      </c>
      <c r="K14" s="67">
        <f>Tabla520[[#This Row],[Cilindre]]</f>
        <v>0</v>
      </c>
      <c r="L14" s="67">
        <f>Tabla520[[#This Row],[Esfera]]</f>
        <v>0</v>
      </c>
      <c r="M14" s="67">
        <f>Tabla520[[#This Row],[DNP]]</f>
        <v>0</v>
      </c>
      <c r="N14" s="67">
        <f>Tabla1023[[#This Row],[h pupilar]]</f>
        <v>0</v>
      </c>
      <c r="O14" s="122"/>
      <c r="P14" s="123"/>
      <c r="Q14" s="124"/>
      <c r="R14" s="123"/>
      <c r="S14" s="129"/>
    </row>
    <row r="15" spans="1:19" x14ac:dyDescent="0.25">
      <c r="A15" s="138">
        <v>12</v>
      </c>
      <c r="B15" s="70">
        <f>Tabla419[[#This Row],[Eix]]</f>
        <v>0</v>
      </c>
      <c r="C15" s="67">
        <f>Tabla419[[#This Row],[Cilindre]]</f>
        <v>0</v>
      </c>
      <c r="D15" s="67">
        <f>Tabla419[[#This Row],[Esfera]]</f>
        <v>0</v>
      </c>
      <c r="E15" s="67">
        <f>Tabla419[[#This Row],[DNP]]</f>
        <v>0</v>
      </c>
      <c r="F15" s="67">
        <f>Tabla1023[[#This Row],[h pupilar]]</f>
        <v>0</v>
      </c>
      <c r="G15" s="122"/>
      <c r="H15" s="123"/>
      <c r="I15" s="124"/>
      <c r="J15" s="67">
        <f>Tabla520[[#This Row],[Eix]]</f>
        <v>0</v>
      </c>
      <c r="K15" s="67">
        <f>Tabla520[[#This Row],[Cilindre]]</f>
        <v>0</v>
      </c>
      <c r="L15" s="67">
        <f>Tabla520[[#This Row],[Esfera]]</f>
        <v>0</v>
      </c>
      <c r="M15" s="67">
        <f>Tabla520[[#This Row],[DNP]]</f>
        <v>0</v>
      </c>
      <c r="N15" s="67">
        <f>Tabla1023[[#This Row],[h pupilar]]</f>
        <v>0</v>
      </c>
      <c r="O15" s="122"/>
      <c r="P15" s="123"/>
      <c r="Q15" s="124"/>
      <c r="R15" s="123"/>
      <c r="S15" s="129"/>
    </row>
    <row r="16" spans="1:19" x14ac:dyDescent="0.25">
      <c r="A16" s="139">
        <v>13</v>
      </c>
      <c r="B16" s="70">
        <f>Tabla419[[#This Row],[Eix]]</f>
        <v>0</v>
      </c>
      <c r="C16" s="67">
        <f>Tabla419[[#This Row],[Cilindre]]</f>
        <v>0</v>
      </c>
      <c r="D16" s="67">
        <f>Tabla419[[#This Row],[Esfera]]</f>
        <v>0</v>
      </c>
      <c r="E16" s="67">
        <f>Tabla419[[#This Row],[DNP]]</f>
        <v>0</v>
      </c>
      <c r="F16" s="67">
        <f>Tabla1023[[#This Row],[h pupilar]]</f>
        <v>0</v>
      </c>
      <c r="G16" s="122"/>
      <c r="H16" s="123"/>
      <c r="I16" s="124"/>
      <c r="J16" s="67">
        <f>Tabla520[[#This Row],[Eix]]</f>
        <v>0</v>
      </c>
      <c r="K16" s="67">
        <f>Tabla520[[#This Row],[Cilindre]]</f>
        <v>0</v>
      </c>
      <c r="L16" s="67">
        <f>Tabla520[[#This Row],[Esfera]]</f>
        <v>0</v>
      </c>
      <c r="M16" s="67">
        <f>Tabla520[[#This Row],[DNP]]</f>
        <v>0</v>
      </c>
      <c r="N16" s="67">
        <f>Tabla1023[[#This Row],[h pupilar]]</f>
        <v>0</v>
      </c>
      <c r="O16" s="122"/>
      <c r="P16" s="123"/>
      <c r="Q16" s="124"/>
      <c r="R16" s="123"/>
      <c r="S16" s="129"/>
    </row>
    <row r="17" spans="1:19" x14ac:dyDescent="0.25">
      <c r="A17" s="138">
        <v>14</v>
      </c>
      <c r="B17" s="70">
        <f>Tabla419[[#This Row],[Eix]]</f>
        <v>0</v>
      </c>
      <c r="C17" s="67">
        <f>Tabla419[[#This Row],[Cilindre]]</f>
        <v>0</v>
      </c>
      <c r="D17" s="67">
        <f>Tabla419[[#This Row],[Esfera]]</f>
        <v>0</v>
      </c>
      <c r="E17" s="67">
        <f>Tabla419[[#This Row],[DNP]]</f>
        <v>0</v>
      </c>
      <c r="F17" s="67">
        <f>Tabla1023[[#This Row],[h pupilar]]</f>
        <v>0</v>
      </c>
      <c r="G17" s="122"/>
      <c r="H17" s="123"/>
      <c r="I17" s="124"/>
      <c r="J17" s="67">
        <f>Tabla520[[#This Row],[Eix]]</f>
        <v>0</v>
      </c>
      <c r="K17" s="67">
        <f>Tabla520[[#This Row],[Cilindre]]</f>
        <v>0</v>
      </c>
      <c r="L17" s="67">
        <f>Tabla520[[#This Row],[Esfera]]</f>
        <v>0</v>
      </c>
      <c r="M17" s="67">
        <f>Tabla520[[#This Row],[DNP]]</f>
        <v>0</v>
      </c>
      <c r="N17" s="67">
        <f>Tabla1023[[#This Row],[h pupilar]]</f>
        <v>0</v>
      </c>
      <c r="O17" s="122"/>
      <c r="P17" s="123"/>
      <c r="Q17" s="124"/>
      <c r="R17" s="123"/>
      <c r="S17" s="129"/>
    </row>
    <row r="18" spans="1:19" x14ac:dyDescent="0.25">
      <c r="A18" s="139">
        <v>15</v>
      </c>
      <c r="B18" s="70">
        <f>Tabla419[[#This Row],[Eix]]</f>
        <v>0</v>
      </c>
      <c r="C18" s="67">
        <f>Tabla419[[#This Row],[Cilindre]]</f>
        <v>0</v>
      </c>
      <c r="D18" s="67">
        <f>Tabla419[[#This Row],[Esfera]]</f>
        <v>0</v>
      </c>
      <c r="E18" s="67">
        <f>Tabla419[[#This Row],[DNP]]</f>
        <v>0</v>
      </c>
      <c r="F18" s="67">
        <f>Tabla1023[[#This Row],[h pupilar]]</f>
        <v>0</v>
      </c>
      <c r="G18" s="122"/>
      <c r="H18" s="123"/>
      <c r="I18" s="124"/>
      <c r="J18" s="67">
        <f>Tabla520[[#This Row],[Eix]]</f>
        <v>0</v>
      </c>
      <c r="K18" s="67">
        <f>Tabla520[[#This Row],[Cilindre]]</f>
        <v>0</v>
      </c>
      <c r="L18" s="67">
        <f>Tabla520[[#This Row],[Esfera]]</f>
        <v>0</v>
      </c>
      <c r="M18" s="67">
        <f>Tabla520[[#This Row],[DNP]]</f>
        <v>0</v>
      </c>
      <c r="N18" s="67">
        <f>Tabla1023[[#This Row],[h pupilar]]</f>
        <v>0</v>
      </c>
      <c r="O18" s="122"/>
      <c r="P18" s="123"/>
      <c r="Q18" s="124"/>
      <c r="R18" s="123"/>
      <c r="S18" s="129"/>
    </row>
    <row r="19" spans="1:19" x14ac:dyDescent="0.25">
      <c r="A19" s="138">
        <v>16</v>
      </c>
      <c r="B19" s="70">
        <f>Tabla419[[#This Row],[Eix]]</f>
        <v>0</v>
      </c>
      <c r="C19" s="67">
        <f>Tabla419[[#This Row],[Cilindre]]</f>
        <v>0</v>
      </c>
      <c r="D19" s="67">
        <f>Tabla419[[#This Row],[Esfera]]</f>
        <v>0</v>
      </c>
      <c r="E19" s="67">
        <f>Tabla419[[#This Row],[DNP]]</f>
        <v>0</v>
      </c>
      <c r="F19" s="67">
        <f>Tabla1023[[#This Row],[h pupilar]]</f>
        <v>0</v>
      </c>
      <c r="G19" s="122"/>
      <c r="H19" s="123"/>
      <c r="I19" s="124"/>
      <c r="J19" s="67">
        <f>Tabla520[[#This Row],[Eix]]</f>
        <v>0</v>
      </c>
      <c r="K19" s="67">
        <f>Tabla520[[#This Row],[Cilindre]]</f>
        <v>0</v>
      </c>
      <c r="L19" s="67">
        <f>Tabla520[[#This Row],[Esfera]]</f>
        <v>0</v>
      </c>
      <c r="M19" s="67">
        <f>Tabla520[[#This Row],[DNP]]</f>
        <v>0</v>
      </c>
      <c r="N19" s="67">
        <f>Tabla1023[[#This Row],[h pupilar]]</f>
        <v>0</v>
      </c>
      <c r="O19" s="122"/>
      <c r="P19" s="123"/>
      <c r="Q19" s="124"/>
      <c r="R19" s="123"/>
      <c r="S19" s="129"/>
    </row>
    <row r="20" spans="1:19" x14ac:dyDescent="0.25">
      <c r="A20" s="139">
        <v>17</v>
      </c>
      <c r="B20" s="70">
        <f>Tabla419[[#This Row],[Eix]]</f>
        <v>0</v>
      </c>
      <c r="C20" s="67">
        <f>Tabla419[[#This Row],[Cilindre]]</f>
        <v>0</v>
      </c>
      <c r="D20" s="67">
        <f>Tabla419[[#This Row],[Esfera]]</f>
        <v>0</v>
      </c>
      <c r="E20" s="67">
        <f>Tabla419[[#This Row],[DNP]]</f>
        <v>0</v>
      </c>
      <c r="F20" s="67">
        <f>Tabla1023[[#This Row],[h pupilar]]</f>
        <v>0</v>
      </c>
      <c r="G20" s="122"/>
      <c r="H20" s="123"/>
      <c r="I20" s="124"/>
      <c r="J20" s="67">
        <f>Tabla520[[#This Row],[Eix]]</f>
        <v>0</v>
      </c>
      <c r="K20" s="67">
        <f>Tabla520[[#This Row],[Cilindre]]</f>
        <v>0</v>
      </c>
      <c r="L20" s="67">
        <f>Tabla520[[#This Row],[Esfera]]</f>
        <v>0</v>
      </c>
      <c r="M20" s="67">
        <f>Tabla520[[#This Row],[DNP]]</f>
        <v>0</v>
      </c>
      <c r="N20" s="67">
        <f>Tabla1023[[#This Row],[h pupilar]]</f>
        <v>0</v>
      </c>
      <c r="O20" s="122"/>
      <c r="P20" s="123"/>
      <c r="Q20" s="124"/>
      <c r="R20" s="123"/>
      <c r="S20" s="129"/>
    </row>
    <row r="21" spans="1:19" x14ac:dyDescent="0.25">
      <c r="A21" s="138">
        <v>18</v>
      </c>
      <c r="B21" s="70">
        <f>Tabla419[[#This Row],[Eix]]</f>
        <v>0</v>
      </c>
      <c r="C21" s="67">
        <f>Tabla419[[#This Row],[Cilindre]]</f>
        <v>0</v>
      </c>
      <c r="D21" s="67">
        <f>Tabla419[[#This Row],[Esfera]]</f>
        <v>0</v>
      </c>
      <c r="E21" s="67">
        <f>Tabla419[[#This Row],[DNP]]</f>
        <v>0</v>
      </c>
      <c r="F21" s="67">
        <f>Tabla1023[[#This Row],[h pupilar]]</f>
        <v>0</v>
      </c>
      <c r="G21" s="122"/>
      <c r="H21" s="123"/>
      <c r="I21" s="124"/>
      <c r="J21" s="67">
        <f>Tabla520[[#This Row],[Eix]]</f>
        <v>0</v>
      </c>
      <c r="K21" s="67">
        <f>Tabla520[[#This Row],[Cilindre]]</f>
        <v>0</v>
      </c>
      <c r="L21" s="67">
        <f>Tabla520[[#This Row],[Esfera]]</f>
        <v>0</v>
      </c>
      <c r="M21" s="67">
        <f>Tabla520[[#This Row],[DNP]]</f>
        <v>0</v>
      </c>
      <c r="N21" s="67">
        <f>Tabla1023[[#This Row],[h pupilar]]</f>
        <v>0</v>
      </c>
      <c r="O21" s="122"/>
      <c r="P21" s="123"/>
      <c r="Q21" s="124"/>
      <c r="R21" s="123"/>
      <c r="S21" s="129"/>
    </row>
    <row r="22" spans="1:19" x14ac:dyDescent="0.25">
      <c r="A22" s="139">
        <v>19</v>
      </c>
      <c r="B22" s="70">
        <f>Tabla419[[#This Row],[Eix]]</f>
        <v>0</v>
      </c>
      <c r="C22" s="67">
        <f>Tabla419[[#This Row],[Cilindre]]</f>
        <v>0</v>
      </c>
      <c r="D22" s="67">
        <f>Tabla419[[#This Row],[Esfera]]</f>
        <v>0</v>
      </c>
      <c r="E22" s="67">
        <f>Tabla419[[#This Row],[DNP]]</f>
        <v>0</v>
      </c>
      <c r="F22" s="67">
        <f>Tabla1023[[#This Row],[h pupilar]]</f>
        <v>0</v>
      </c>
      <c r="G22" s="122"/>
      <c r="H22" s="123"/>
      <c r="I22" s="124"/>
      <c r="J22" s="67">
        <f>Tabla520[[#This Row],[Eix]]</f>
        <v>0</v>
      </c>
      <c r="K22" s="67">
        <f>Tabla520[[#This Row],[Cilindre]]</f>
        <v>0</v>
      </c>
      <c r="L22" s="67">
        <f>Tabla520[[#This Row],[Esfera]]</f>
        <v>0</v>
      </c>
      <c r="M22" s="67">
        <f>Tabla520[[#This Row],[DNP]]</f>
        <v>0</v>
      </c>
      <c r="N22" s="67">
        <f>Tabla1023[[#This Row],[h pupilar]]</f>
        <v>0</v>
      </c>
      <c r="O22" s="122"/>
      <c r="P22" s="123"/>
      <c r="Q22" s="124"/>
      <c r="R22" s="123"/>
      <c r="S22" s="129"/>
    </row>
    <row r="23" spans="1:19" x14ac:dyDescent="0.25">
      <c r="A23" s="138">
        <v>20</v>
      </c>
      <c r="B23" s="70">
        <f>Tabla419[[#This Row],[Eix]]</f>
        <v>0</v>
      </c>
      <c r="C23" s="67">
        <f>Tabla419[[#This Row],[Cilindre]]</f>
        <v>0</v>
      </c>
      <c r="D23" s="67">
        <f>Tabla419[[#This Row],[Esfera]]</f>
        <v>0</v>
      </c>
      <c r="E23" s="67">
        <f>Tabla419[[#This Row],[DNP]]</f>
        <v>0</v>
      </c>
      <c r="F23" s="67">
        <f>Tabla1023[[#This Row],[h pupilar]]</f>
        <v>0</v>
      </c>
      <c r="G23" s="122"/>
      <c r="H23" s="123"/>
      <c r="I23" s="124"/>
      <c r="J23" s="67">
        <f>Tabla520[[#This Row],[Eix]]</f>
        <v>0</v>
      </c>
      <c r="K23" s="67">
        <f>Tabla520[[#This Row],[Cilindre]]</f>
        <v>0</v>
      </c>
      <c r="L23" s="67">
        <f>Tabla520[[#This Row],[Esfera]]</f>
        <v>0</v>
      </c>
      <c r="M23" s="67">
        <f>Tabla520[[#This Row],[DNP]]</f>
        <v>0</v>
      </c>
      <c r="N23" s="67">
        <f>Tabla1023[[#This Row],[h pupilar]]</f>
        <v>0</v>
      </c>
      <c r="O23" s="122"/>
      <c r="P23" s="123"/>
      <c r="Q23" s="124"/>
      <c r="R23" s="123"/>
      <c r="S23" s="129"/>
    </row>
    <row r="24" spans="1:19" x14ac:dyDescent="0.25">
      <c r="A24" s="139">
        <v>21</v>
      </c>
      <c r="B24" s="70">
        <f>Tabla419[[#This Row],[Eix]]</f>
        <v>0</v>
      </c>
      <c r="C24" s="67">
        <f>Tabla419[[#This Row],[Cilindre]]</f>
        <v>0</v>
      </c>
      <c r="D24" s="67">
        <f>Tabla419[[#This Row],[Esfera]]</f>
        <v>0</v>
      </c>
      <c r="E24" s="67">
        <f>Tabla419[[#This Row],[DNP]]</f>
        <v>0</v>
      </c>
      <c r="F24" s="67">
        <f>Tabla1023[[#This Row],[h pupilar]]</f>
        <v>0</v>
      </c>
      <c r="G24" s="122"/>
      <c r="H24" s="123"/>
      <c r="I24" s="124"/>
      <c r="J24" s="67">
        <f>Tabla520[[#This Row],[Eix]]</f>
        <v>0</v>
      </c>
      <c r="K24" s="67">
        <f>Tabla520[[#This Row],[Cilindre]]</f>
        <v>0</v>
      </c>
      <c r="L24" s="67">
        <f>Tabla520[[#This Row],[Esfera]]</f>
        <v>0</v>
      </c>
      <c r="M24" s="67">
        <f>Tabla520[[#This Row],[DNP]]</f>
        <v>0</v>
      </c>
      <c r="N24" s="67">
        <f>Tabla1023[[#This Row],[h pupilar]]</f>
        <v>0</v>
      </c>
      <c r="O24" s="122"/>
      <c r="P24" s="123"/>
      <c r="Q24" s="124"/>
      <c r="R24" s="123"/>
      <c r="S24" s="129"/>
    </row>
    <row r="25" spans="1:19" x14ac:dyDescent="0.25">
      <c r="A25" s="138">
        <v>22</v>
      </c>
      <c r="B25" s="70">
        <f>Tabla419[[#This Row],[Eix]]</f>
        <v>0</v>
      </c>
      <c r="C25" s="67">
        <f>Tabla419[[#This Row],[Cilindre]]</f>
        <v>0</v>
      </c>
      <c r="D25" s="67">
        <f>Tabla419[[#This Row],[Esfera]]</f>
        <v>0</v>
      </c>
      <c r="E25" s="67">
        <f>Tabla419[[#This Row],[DNP]]</f>
        <v>0</v>
      </c>
      <c r="F25" s="67">
        <f>Tabla1023[[#This Row],[h pupilar]]</f>
        <v>0</v>
      </c>
      <c r="G25" s="122"/>
      <c r="H25" s="123"/>
      <c r="I25" s="124"/>
      <c r="J25" s="67">
        <f>Tabla520[[#This Row],[Eix]]</f>
        <v>0</v>
      </c>
      <c r="K25" s="67">
        <f>Tabla520[[#This Row],[Cilindre]]</f>
        <v>0</v>
      </c>
      <c r="L25" s="67">
        <f>Tabla520[[#This Row],[Esfera]]</f>
        <v>0</v>
      </c>
      <c r="M25" s="67">
        <f>Tabla520[[#This Row],[DNP]]</f>
        <v>0</v>
      </c>
      <c r="N25" s="67">
        <f>Tabla1023[[#This Row],[h pupilar]]</f>
        <v>0</v>
      </c>
      <c r="O25" s="122"/>
      <c r="P25" s="123"/>
      <c r="Q25" s="124"/>
      <c r="R25" s="123"/>
      <c r="S25" s="129"/>
    </row>
    <row r="26" spans="1:19" x14ac:dyDescent="0.25">
      <c r="A26" s="139">
        <v>23</v>
      </c>
      <c r="B26" s="70">
        <f>Tabla419[[#This Row],[Eix]]</f>
        <v>0</v>
      </c>
      <c r="C26" s="67">
        <f>Tabla419[[#This Row],[Cilindre]]</f>
        <v>0</v>
      </c>
      <c r="D26" s="67">
        <f>Tabla419[[#This Row],[Esfera]]</f>
        <v>0</v>
      </c>
      <c r="E26" s="67">
        <f>Tabla419[[#This Row],[DNP]]</f>
        <v>0</v>
      </c>
      <c r="F26" s="67">
        <f>Tabla1023[[#This Row],[h pupilar]]</f>
        <v>0</v>
      </c>
      <c r="G26" s="122"/>
      <c r="H26" s="123"/>
      <c r="I26" s="124"/>
      <c r="J26" s="67">
        <f>Tabla520[[#This Row],[Eix]]</f>
        <v>0</v>
      </c>
      <c r="K26" s="67">
        <f>Tabla520[[#This Row],[Cilindre]]</f>
        <v>0</v>
      </c>
      <c r="L26" s="67">
        <f>Tabla520[[#This Row],[Esfera]]</f>
        <v>0</v>
      </c>
      <c r="M26" s="67">
        <f>Tabla520[[#This Row],[DNP]]</f>
        <v>0</v>
      </c>
      <c r="N26" s="67">
        <f>Tabla1023[[#This Row],[h pupilar]]</f>
        <v>0</v>
      </c>
      <c r="O26" s="122"/>
      <c r="P26" s="123"/>
      <c r="Q26" s="124"/>
      <c r="R26" s="123"/>
      <c r="S26" s="129"/>
    </row>
    <row r="27" spans="1:19" x14ac:dyDescent="0.25">
      <c r="A27" s="138">
        <v>24</v>
      </c>
      <c r="B27" s="70">
        <f>Tabla419[[#This Row],[Eix]]</f>
        <v>0</v>
      </c>
      <c r="C27" s="67">
        <f>Tabla419[[#This Row],[Cilindre]]</f>
        <v>0</v>
      </c>
      <c r="D27" s="67">
        <f>Tabla419[[#This Row],[Esfera]]</f>
        <v>0</v>
      </c>
      <c r="E27" s="67">
        <f>Tabla419[[#This Row],[DNP]]</f>
        <v>0</v>
      </c>
      <c r="F27" s="67">
        <f>Tabla1023[[#This Row],[h pupilar]]</f>
        <v>0</v>
      </c>
      <c r="G27" s="122"/>
      <c r="H27" s="123"/>
      <c r="I27" s="124"/>
      <c r="J27" s="67">
        <f>Tabla520[[#This Row],[Eix]]</f>
        <v>0</v>
      </c>
      <c r="K27" s="67">
        <f>Tabla520[[#This Row],[Cilindre]]</f>
        <v>0</v>
      </c>
      <c r="L27" s="67">
        <f>Tabla520[[#This Row],[Esfera]]</f>
        <v>0</v>
      </c>
      <c r="M27" s="67">
        <f>Tabla520[[#This Row],[DNP]]</f>
        <v>0</v>
      </c>
      <c r="N27" s="67">
        <f>Tabla1023[[#This Row],[h pupilar]]</f>
        <v>0</v>
      </c>
      <c r="O27" s="122"/>
      <c r="P27" s="123"/>
      <c r="Q27" s="124"/>
      <c r="R27" s="123"/>
      <c r="S27" s="129"/>
    </row>
    <row r="28" spans="1:19" x14ac:dyDescent="0.25">
      <c r="A28" s="139">
        <v>25</v>
      </c>
      <c r="B28" s="70">
        <f>Tabla419[[#This Row],[Eix]]</f>
        <v>0</v>
      </c>
      <c r="C28" s="67">
        <f>Tabla419[[#This Row],[Cilindre]]</f>
        <v>0</v>
      </c>
      <c r="D28" s="67">
        <f>Tabla419[[#This Row],[Esfera]]</f>
        <v>0</v>
      </c>
      <c r="E28" s="67">
        <f>Tabla419[[#This Row],[DNP]]</f>
        <v>0</v>
      </c>
      <c r="F28" s="67">
        <f>Tabla1023[[#This Row],[h pupilar]]</f>
        <v>0</v>
      </c>
      <c r="G28" s="122"/>
      <c r="H28" s="123"/>
      <c r="I28" s="124"/>
      <c r="J28" s="67">
        <f>Tabla520[[#This Row],[Eix]]</f>
        <v>0</v>
      </c>
      <c r="K28" s="67">
        <f>Tabla520[[#This Row],[Cilindre]]</f>
        <v>0</v>
      </c>
      <c r="L28" s="67">
        <f>Tabla520[[#This Row],[Esfera]]</f>
        <v>0</v>
      </c>
      <c r="M28" s="67">
        <f>Tabla520[[#This Row],[DNP]]</f>
        <v>0</v>
      </c>
      <c r="N28" s="67">
        <f>Tabla1023[[#This Row],[h pupilar]]</f>
        <v>0</v>
      </c>
      <c r="O28" s="122"/>
      <c r="P28" s="123"/>
      <c r="Q28" s="124"/>
      <c r="R28" s="123"/>
      <c r="S28" s="129"/>
    </row>
    <row r="29" spans="1:19" x14ac:dyDescent="0.25">
      <c r="A29" s="138">
        <v>26</v>
      </c>
      <c r="B29" s="70">
        <f>Tabla419[[#This Row],[Eix]]</f>
        <v>0</v>
      </c>
      <c r="C29" s="67">
        <f>Tabla419[[#This Row],[Cilindre]]</f>
        <v>0</v>
      </c>
      <c r="D29" s="67">
        <f>Tabla419[[#This Row],[Esfera]]</f>
        <v>0</v>
      </c>
      <c r="E29" s="67">
        <f>Tabla419[[#This Row],[DNP]]</f>
        <v>0</v>
      </c>
      <c r="F29" s="67">
        <f>Tabla1023[[#This Row],[h pupilar]]</f>
        <v>0</v>
      </c>
      <c r="G29" s="122"/>
      <c r="H29" s="123"/>
      <c r="I29" s="124"/>
      <c r="J29" s="67">
        <f>Tabla520[[#This Row],[Eix]]</f>
        <v>0</v>
      </c>
      <c r="K29" s="67">
        <f>Tabla520[[#This Row],[Cilindre]]</f>
        <v>0</v>
      </c>
      <c r="L29" s="67">
        <f>Tabla520[[#This Row],[Esfera]]</f>
        <v>0</v>
      </c>
      <c r="M29" s="67">
        <f>Tabla520[[#This Row],[DNP]]</f>
        <v>0</v>
      </c>
      <c r="N29" s="67">
        <f>Tabla1023[[#This Row],[h pupilar]]</f>
        <v>0</v>
      </c>
      <c r="O29" s="122"/>
      <c r="P29" s="123"/>
      <c r="Q29" s="124"/>
      <c r="R29" s="123"/>
      <c r="S29" s="129"/>
    </row>
    <row r="30" spans="1:19" x14ac:dyDescent="0.25">
      <c r="A30" s="139">
        <v>27</v>
      </c>
      <c r="B30" s="70">
        <f>Tabla419[[#This Row],[Eix]]</f>
        <v>0</v>
      </c>
      <c r="C30" s="67">
        <f>Tabla419[[#This Row],[Cilindre]]</f>
        <v>0</v>
      </c>
      <c r="D30" s="67">
        <f>Tabla419[[#This Row],[Esfera]]</f>
        <v>0</v>
      </c>
      <c r="E30" s="67">
        <f>Tabla419[[#This Row],[DNP]]</f>
        <v>0</v>
      </c>
      <c r="F30" s="67">
        <f>Tabla1023[[#This Row],[h pupilar]]</f>
        <v>0</v>
      </c>
      <c r="G30" s="122"/>
      <c r="H30" s="123"/>
      <c r="I30" s="124"/>
      <c r="J30" s="67">
        <f>Tabla520[[#This Row],[Eix]]</f>
        <v>0</v>
      </c>
      <c r="K30" s="67">
        <f>Tabla520[[#This Row],[Cilindre]]</f>
        <v>0</v>
      </c>
      <c r="L30" s="67">
        <f>Tabla520[[#This Row],[Esfera]]</f>
        <v>0</v>
      </c>
      <c r="M30" s="67">
        <f>Tabla520[[#This Row],[DNP]]</f>
        <v>0</v>
      </c>
      <c r="N30" s="67">
        <f>Tabla1023[[#This Row],[h pupilar]]</f>
        <v>0</v>
      </c>
      <c r="O30" s="122"/>
      <c r="P30" s="123"/>
      <c r="Q30" s="124"/>
      <c r="R30" s="123"/>
      <c r="S30" s="129"/>
    </row>
    <row r="31" spans="1:19" x14ac:dyDescent="0.25">
      <c r="A31" s="138">
        <v>28</v>
      </c>
      <c r="B31" s="70">
        <f>Tabla419[[#This Row],[Eix]]</f>
        <v>0</v>
      </c>
      <c r="C31" s="67">
        <f>Tabla419[[#This Row],[Cilindre]]</f>
        <v>0</v>
      </c>
      <c r="D31" s="67">
        <f>Tabla419[[#This Row],[Esfera]]</f>
        <v>0</v>
      </c>
      <c r="E31" s="67">
        <f>Tabla419[[#This Row],[DNP]]</f>
        <v>0</v>
      </c>
      <c r="F31" s="67">
        <f>Tabla1023[[#This Row],[h pupilar]]</f>
        <v>0</v>
      </c>
      <c r="G31" s="122"/>
      <c r="H31" s="123"/>
      <c r="I31" s="124"/>
      <c r="J31" s="67">
        <f>Tabla520[[#This Row],[Eix]]</f>
        <v>0</v>
      </c>
      <c r="K31" s="67">
        <f>Tabla520[[#This Row],[Cilindre]]</f>
        <v>0</v>
      </c>
      <c r="L31" s="67">
        <f>Tabla520[[#This Row],[Esfera]]</f>
        <v>0</v>
      </c>
      <c r="M31" s="67">
        <f>Tabla520[[#This Row],[DNP]]</f>
        <v>0</v>
      </c>
      <c r="N31" s="67">
        <f>Tabla1023[[#This Row],[h pupilar]]</f>
        <v>0</v>
      </c>
      <c r="O31" s="122"/>
      <c r="P31" s="123"/>
      <c r="Q31" s="124"/>
      <c r="R31" s="123"/>
      <c r="S31" s="129"/>
    </row>
    <row r="32" spans="1:19" x14ac:dyDescent="0.25">
      <c r="A32" s="139">
        <v>29</v>
      </c>
      <c r="B32" s="70">
        <f>Tabla419[[#This Row],[Eix]]</f>
        <v>0</v>
      </c>
      <c r="C32" s="67">
        <f>Tabla419[[#This Row],[Cilindre]]</f>
        <v>0</v>
      </c>
      <c r="D32" s="67">
        <f>Tabla419[[#This Row],[Esfera]]</f>
        <v>0</v>
      </c>
      <c r="E32" s="67">
        <f>Tabla419[[#This Row],[DNP]]</f>
        <v>0</v>
      </c>
      <c r="F32" s="67">
        <f>Tabla1023[[#This Row],[h pupilar]]</f>
        <v>0</v>
      </c>
      <c r="G32" s="122"/>
      <c r="H32" s="123"/>
      <c r="I32" s="124"/>
      <c r="J32" s="67">
        <f>Tabla520[[#This Row],[Eix]]</f>
        <v>0</v>
      </c>
      <c r="K32" s="67">
        <f>Tabla520[[#This Row],[Cilindre]]</f>
        <v>0</v>
      </c>
      <c r="L32" s="67">
        <f>Tabla520[[#This Row],[Esfera]]</f>
        <v>0</v>
      </c>
      <c r="M32" s="67">
        <f>Tabla520[[#This Row],[DNP]]</f>
        <v>0</v>
      </c>
      <c r="N32" s="67">
        <f>Tabla1023[[#This Row],[h pupilar]]</f>
        <v>0</v>
      </c>
      <c r="O32" s="122"/>
      <c r="P32" s="123"/>
      <c r="Q32" s="124"/>
      <c r="R32" s="123"/>
      <c r="S32" s="129"/>
    </row>
    <row r="33" spans="1:19" x14ac:dyDescent="0.25">
      <c r="A33" s="138">
        <v>30</v>
      </c>
      <c r="B33" s="70">
        <f>Tabla419[[#This Row],[Eix]]</f>
        <v>0</v>
      </c>
      <c r="C33" s="67">
        <f>Tabla419[[#This Row],[Cilindre]]</f>
        <v>0</v>
      </c>
      <c r="D33" s="67">
        <f>Tabla419[[#This Row],[Esfera]]</f>
        <v>0</v>
      </c>
      <c r="E33" s="67">
        <f>Tabla419[[#This Row],[DNP]]</f>
        <v>0</v>
      </c>
      <c r="F33" s="67">
        <f>Tabla1023[[#This Row],[h pupilar]]</f>
        <v>0</v>
      </c>
      <c r="G33" s="122"/>
      <c r="H33" s="123"/>
      <c r="I33" s="124"/>
      <c r="J33" s="67">
        <f>Tabla520[[#This Row],[Eix]]</f>
        <v>0</v>
      </c>
      <c r="K33" s="67">
        <f>Tabla520[[#This Row],[Cilindre]]</f>
        <v>0</v>
      </c>
      <c r="L33" s="67">
        <f>Tabla520[[#This Row],[Esfera]]</f>
        <v>0</v>
      </c>
      <c r="M33" s="67">
        <f>Tabla520[[#This Row],[DNP]]</f>
        <v>0</v>
      </c>
      <c r="N33" s="67">
        <f>Tabla1023[[#This Row],[h pupilar]]</f>
        <v>0</v>
      </c>
      <c r="O33" s="122"/>
      <c r="P33" s="123"/>
      <c r="Q33" s="124"/>
      <c r="R33" s="123"/>
      <c r="S33" s="129"/>
    </row>
    <row r="34" spans="1:19" x14ac:dyDescent="0.25">
      <c r="A34" s="139">
        <v>31</v>
      </c>
      <c r="B34" s="70">
        <f>Tabla419[[#This Row],[Eix]]</f>
        <v>0</v>
      </c>
      <c r="C34" s="67">
        <f>Tabla419[[#This Row],[Cilindre]]</f>
        <v>0</v>
      </c>
      <c r="D34" s="67">
        <f>Tabla419[[#This Row],[Esfera]]</f>
        <v>0</v>
      </c>
      <c r="E34" s="67">
        <f>Tabla419[[#This Row],[DNP]]</f>
        <v>0</v>
      </c>
      <c r="F34" s="67">
        <f>Tabla1023[[#This Row],[h pupilar]]</f>
        <v>0</v>
      </c>
      <c r="G34" s="122"/>
      <c r="H34" s="123"/>
      <c r="I34" s="124"/>
      <c r="J34" s="67">
        <f>Tabla520[[#This Row],[Eix]]</f>
        <v>0</v>
      </c>
      <c r="K34" s="67">
        <f>Tabla520[[#This Row],[Cilindre]]</f>
        <v>0</v>
      </c>
      <c r="L34" s="67">
        <f>Tabla520[[#This Row],[Esfera]]</f>
        <v>0</v>
      </c>
      <c r="M34" s="67">
        <f>Tabla520[[#This Row],[DNP]]</f>
        <v>0</v>
      </c>
      <c r="N34" s="67">
        <f>Tabla1023[[#This Row],[h pupilar]]</f>
        <v>0</v>
      </c>
      <c r="O34" s="122"/>
      <c r="P34" s="123"/>
      <c r="Q34" s="124"/>
      <c r="R34" s="123"/>
      <c r="S34" s="129"/>
    </row>
    <row r="35" spans="1:19" x14ac:dyDescent="0.25">
      <c r="A35" s="138">
        <v>32</v>
      </c>
      <c r="B35" s="70">
        <f>Tabla419[[#This Row],[Eix]]</f>
        <v>0</v>
      </c>
      <c r="C35" s="67">
        <f>Tabla419[[#This Row],[Cilindre]]</f>
        <v>0</v>
      </c>
      <c r="D35" s="67">
        <f>Tabla419[[#This Row],[Esfera]]</f>
        <v>0</v>
      </c>
      <c r="E35" s="67">
        <f>Tabla419[[#This Row],[DNP]]</f>
        <v>0</v>
      </c>
      <c r="F35" s="67">
        <f>Tabla1023[[#This Row],[h pupilar]]</f>
        <v>0</v>
      </c>
      <c r="G35" s="122"/>
      <c r="H35" s="123"/>
      <c r="I35" s="124"/>
      <c r="J35" s="67">
        <f>Tabla520[[#This Row],[Eix]]</f>
        <v>0</v>
      </c>
      <c r="K35" s="67">
        <f>Tabla520[[#This Row],[Cilindre]]</f>
        <v>0</v>
      </c>
      <c r="L35" s="67">
        <f>Tabla520[[#This Row],[Esfera]]</f>
        <v>0</v>
      </c>
      <c r="M35" s="67">
        <f>Tabla520[[#This Row],[DNP]]</f>
        <v>0</v>
      </c>
      <c r="N35" s="67">
        <f>Tabla1023[[#This Row],[h pupilar]]</f>
        <v>0</v>
      </c>
      <c r="O35" s="122"/>
      <c r="P35" s="123"/>
      <c r="Q35" s="124"/>
      <c r="R35" s="123"/>
      <c r="S35" s="129"/>
    </row>
    <row r="36" spans="1:19" x14ac:dyDescent="0.25">
      <c r="A36" s="139">
        <v>33</v>
      </c>
      <c r="B36" s="70">
        <f>Tabla419[[#This Row],[Eix]]</f>
        <v>0</v>
      </c>
      <c r="C36" s="67">
        <f>Tabla419[[#This Row],[Cilindre]]</f>
        <v>0</v>
      </c>
      <c r="D36" s="67">
        <f>Tabla419[[#This Row],[Esfera]]</f>
        <v>0</v>
      </c>
      <c r="E36" s="67">
        <f>Tabla419[[#This Row],[DNP]]</f>
        <v>0</v>
      </c>
      <c r="F36" s="67">
        <f>Tabla1023[[#This Row],[h pupilar]]</f>
        <v>0</v>
      </c>
      <c r="G36" s="122"/>
      <c r="H36" s="123"/>
      <c r="I36" s="124"/>
      <c r="J36" s="67">
        <f>Tabla520[[#This Row],[Eix]]</f>
        <v>0</v>
      </c>
      <c r="K36" s="67">
        <f>Tabla520[[#This Row],[Cilindre]]</f>
        <v>0</v>
      </c>
      <c r="L36" s="67">
        <f>Tabla520[[#This Row],[Esfera]]</f>
        <v>0</v>
      </c>
      <c r="M36" s="67">
        <f>Tabla520[[#This Row],[DNP]]</f>
        <v>0</v>
      </c>
      <c r="N36" s="67">
        <f>Tabla1023[[#This Row],[h pupilar]]</f>
        <v>0</v>
      </c>
      <c r="O36" s="122"/>
      <c r="P36" s="123"/>
      <c r="Q36" s="124"/>
      <c r="R36" s="123"/>
      <c r="S36" s="129"/>
    </row>
    <row r="37" spans="1:19" x14ac:dyDescent="0.25">
      <c r="A37" s="138">
        <v>34</v>
      </c>
      <c r="B37" s="70">
        <f>Tabla419[[#This Row],[Eix]]</f>
        <v>0</v>
      </c>
      <c r="C37" s="67">
        <f>Tabla419[[#This Row],[Cilindre]]</f>
        <v>0</v>
      </c>
      <c r="D37" s="67">
        <f>Tabla419[[#This Row],[Esfera]]</f>
        <v>0</v>
      </c>
      <c r="E37" s="67">
        <f>Tabla419[[#This Row],[DNP]]</f>
        <v>0</v>
      </c>
      <c r="F37" s="67">
        <f>Tabla1023[[#This Row],[h pupilar]]</f>
        <v>0</v>
      </c>
      <c r="G37" s="122"/>
      <c r="H37" s="123"/>
      <c r="I37" s="124"/>
      <c r="J37" s="67">
        <f>Tabla520[[#This Row],[Eix]]</f>
        <v>0</v>
      </c>
      <c r="K37" s="67">
        <f>Tabla520[[#This Row],[Cilindre]]</f>
        <v>0</v>
      </c>
      <c r="L37" s="67">
        <f>Tabla520[[#This Row],[Esfera]]</f>
        <v>0</v>
      </c>
      <c r="M37" s="67">
        <f>Tabla520[[#This Row],[DNP]]</f>
        <v>0</v>
      </c>
      <c r="N37" s="67">
        <f>Tabla1023[[#This Row],[h pupilar]]</f>
        <v>0</v>
      </c>
      <c r="O37" s="122"/>
      <c r="P37" s="123"/>
      <c r="Q37" s="124"/>
      <c r="R37" s="123"/>
      <c r="S37" s="129"/>
    </row>
    <row r="38" spans="1:19" x14ac:dyDescent="0.25">
      <c r="A38" s="139">
        <v>35</v>
      </c>
      <c r="B38" s="70">
        <f>Tabla419[[#This Row],[Eix]]</f>
        <v>0</v>
      </c>
      <c r="C38" s="67">
        <f>Tabla419[[#This Row],[Cilindre]]</f>
        <v>0</v>
      </c>
      <c r="D38" s="67">
        <f>Tabla419[[#This Row],[Esfera]]</f>
        <v>0</v>
      </c>
      <c r="E38" s="67">
        <f>Tabla419[[#This Row],[DNP]]</f>
        <v>0</v>
      </c>
      <c r="F38" s="67">
        <f>Tabla1023[[#This Row],[h pupilar]]</f>
        <v>0</v>
      </c>
      <c r="G38" s="122"/>
      <c r="H38" s="123"/>
      <c r="I38" s="124"/>
      <c r="J38" s="67">
        <f>Tabla520[[#This Row],[Eix]]</f>
        <v>0</v>
      </c>
      <c r="K38" s="67">
        <f>Tabla520[[#This Row],[Cilindre]]</f>
        <v>0</v>
      </c>
      <c r="L38" s="67">
        <f>Tabla520[[#This Row],[Esfera]]</f>
        <v>0</v>
      </c>
      <c r="M38" s="67">
        <f>Tabla520[[#This Row],[DNP]]</f>
        <v>0</v>
      </c>
      <c r="N38" s="67">
        <f>Tabla1023[[#This Row],[h pupilar]]</f>
        <v>0</v>
      </c>
      <c r="O38" s="122"/>
      <c r="P38" s="123"/>
      <c r="Q38" s="124"/>
      <c r="R38" s="123"/>
      <c r="S38" s="129"/>
    </row>
    <row r="39" spans="1:19" x14ac:dyDescent="0.25">
      <c r="A39" s="138">
        <v>36</v>
      </c>
      <c r="B39" s="70">
        <f>Tabla419[[#This Row],[Eix]]</f>
        <v>0</v>
      </c>
      <c r="C39" s="67">
        <f>Tabla419[[#This Row],[Cilindre]]</f>
        <v>0</v>
      </c>
      <c r="D39" s="67">
        <f>Tabla419[[#This Row],[Esfera]]</f>
        <v>0</v>
      </c>
      <c r="E39" s="67">
        <f>Tabla419[[#This Row],[DNP]]</f>
        <v>0</v>
      </c>
      <c r="F39" s="67">
        <f>Tabla1023[[#This Row],[h pupilar]]</f>
        <v>0</v>
      </c>
      <c r="G39" s="122"/>
      <c r="H39" s="123"/>
      <c r="I39" s="124"/>
      <c r="J39" s="67">
        <f>Tabla520[[#This Row],[Eix]]</f>
        <v>0</v>
      </c>
      <c r="K39" s="67">
        <f>Tabla520[[#This Row],[Cilindre]]</f>
        <v>0</v>
      </c>
      <c r="L39" s="67">
        <f>Tabla520[[#This Row],[Esfera]]</f>
        <v>0</v>
      </c>
      <c r="M39" s="67">
        <f>Tabla520[[#This Row],[DNP]]</f>
        <v>0</v>
      </c>
      <c r="N39" s="67">
        <f>Tabla1023[[#This Row],[h pupilar]]</f>
        <v>0</v>
      </c>
      <c r="O39" s="122"/>
      <c r="P39" s="123"/>
      <c r="Q39" s="124"/>
      <c r="R39" s="123"/>
      <c r="S39" s="129"/>
    </row>
    <row r="40" spans="1:19" x14ac:dyDescent="0.25">
      <c r="A40" s="139">
        <v>37</v>
      </c>
      <c r="B40" s="70">
        <f>Tabla419[[#This Row],[Eix]]</f>
        <v>0</v>
      </c>
      <c r="C40" s="67">
        <f>Tabla419[[#This Row],[Cilindre]]</f>
        <v>0</v>
      </c>
      <c r="D40" s="67">
        <f>Tabla419[[#This Row],[Esfera]]</f>
        <v>0</v>
      </c>
      <c r="E40" s="67">
        <f>Tabla419[[#This Row],[DNP]]</f>
        <v>0</v>
      </c>
      <c r="F40" s="67">
        <f>Tabla1023[[#This Row],[h pupilar]]</f>
        <v>0</v>
      </c>
      <c r="G40" s="122"/>
      <c r="H40" s="123"/>
      <c r="I40" s="124"/>
      <c r="J40" s="67">
        <f>Tabla520[[#This Row],[Eix]]</f>
        <v>0</v>
      </c>
      <c r="K40" s="67">
        <f>Tabla520[[#This Row],[Cilindre]]</f>
        <v>0</v>
      </c>
      <c r="L40" s="67">
        <f>Tabla520[[#This Row],[Esfera]]</f>
        <v>0</v>
      </c>
      <c r="M40" s="67">
        <f>Tabla520[[#This Row],[DNP]]</f>
        <v>0</v>
      </c>
      <c r="N40" s="67">
        <f>Tabla1023[[#This Row],[h pupilar]]</f>
        <v>0</v>
      </c>
      <c r="O40" s="122"/>
      <c r="P40" s="123"/>
      <c r="Q40" s="124"/>
      <c r="R40" s="123"/>
      <c r="S40" s="129"/>
    </row>
    <row r="41" spans="1:19" x14ac:dyDescent="0.25">
      <c r="A41" s="138">
        <v>38</v>
      </c>
      <c r="B41" s="70">
        <f>Tabla419[[#This Row],[Eix]]</f>
        <v>0</v>
      </c>
      <c r="C41" s="67">
        <f>Tabla419[[#This Row],[Cilindre]]</f>
        <v>0</v>
      </c>
      <c r="D41" s="67">
        <f>Tabla419[[#This Row],[Esfera]]</f>
        <v>0</v>
      </c>
      <c r="E41" s="67">
        <f>Tabla419[[#This Row],[DNP]]</f>
        <v>0</v>
      </c>
      <c r="F41" s="67">
        <f>Tabla1023[[#This Row],[h pupilar]]</f>
        <v>0</v>
      </c>
      <c r="G41" s="122"/>
      <c r="H41" s="123"/>
      <c r="I41" s="124"/>
      <c r="J41" s="67">
        <f>Tabla520[[#This Row],[Eix]]</f>
        <v>0</v>
      </c>
      <c r="K41" s="67">
        <f>Tabla520[[#This Row],[Cilindre]]</f>
        <v>0</v>
      </c>
      <c r="L41" s="67">
        <f>Tabla520[[#This Row],[Esfera]]</f>
        <v>0</v>
      </c>
      <c r="M41" s="67">
        <f>Tabla520[[#This Row],[DNP]]</f>
        <v>0</v>
      </c>
      <c r="N41" s="67">
        <f>Tabla1023[[#This Row],[h pupilar]]</f>
        <v>0</v>
      </c>
      <c r="O41" s="122"/>
      <c r="P41" s="123"/>
      <c r="Q41" s="124"/>
      <c r="R41" s="123"/>
      <c r="S41" s="129"/>
    </row>
    <row r="42" spans="1:19" x14ac:dyDescent="0.25">
      <c r="A42" s="139">
        <v>39</v>
      </c>
      <c r="B42" s="70">
        <f>Tabla419[[#This Row],[Eix]]</f>
        <v>0</v>
      </c>
      <c r="C42" s="67">
        <f>Tabla419[[#This Row],[Cilindre]]</f>
        <v>0</v>
      </c>
      <c r="D42" s="67">
        <f>Tabla419[[#This Row],[Esfera]]</f>
        <v>0</v>
      </c>
      <c r="E42" s="67">
        <f>Tabla419[[#This Row],[DNP]]</f>
        <v>0</v>
      </c>
      <c r="F42" s="67">
        <f>Tabla1023[[#This Row],[h pupilar]]</f>
        <v>0</v>
      </c>
      <c r="G42" s="122"/>
      <c r="H42" s="123"/>
      <c r="I42" s="124"/>
      <c r="J42" s="67">
        <f>Tabla520[[#This Row],[Eix]]</f>
        <v>0</v>
      </c>
      <c r="K42" s="67">
        <f>Tabla520[[#This Row],[Cilindre]]</f>
        <v>0</v>
      </c>
      <c r="L42" s="67">
        <f>Tabla520[[#This Row],[Esfera]]</f>
        <v>0</v>
      </c>
      <c r="M42" s="67">
        <f>Tabla520[[#This Row],[DNP]]</f>
        <v>0</v>
      </c>
      <c r="N42" s="67">
        <f>Tabla1023[[#This Row],[h pupilar]]</f>
        <v>0</v>
      </c>
      <c r="O42" s="122"/>
      <c r="P42" s="123"/>
      <c r="Q42" s="124"/>
      <c r="R42" s="123"/>
      <c r="S42" s="129"/>
    </row>
    <row r="43" spans="1:19" x14ac:dyDescent="0.25">
      <c r="A43" s="138">
        <v>40</v>
      </c>
      <c r="B43" s="70">
        <f>Tabla419[[#This Row],[Eix]]</f>
        <v>0</v>
      </c>
      <c r="C43" s="67">
        <f>Tabla419[[#This Row],[Cilindre]]</f>
        <v>0</v>
      </c>
      <c r="D43" s="67">
        <f>Tabla419[[#This Row],[Esfera]]</f>
        <v>0</v>
      </c>
      <c r="E43" s="67">
        <f>Tabla419[[#This Row],[DNP]]</f>
        <v>0</v>
      </c>
      <c r="F43" s="67">
        <f>Tabla1023[[#This Row],[h pupilar]]</f>
        <v>0</v>
      </c>
      <c r="G43" s="122"/>
      <c r="H43" s="123"/>
      <c r="I43" s="124"/>
      <c r="J43" s="67">
        <f>Tabla520[[#This Row],[Eix]]</f>
        <v>0</v>
      </c>
      <c r="K43" s="67">
        <f>Tabla520[[#This Row],[Cilindre]]</f>
        <v>0</v>
      </c>
      <c r="L43" s="67">
        <f>Tabla520[[#This Row],[Esfera]]</f>
        <v>0</v>
      </c>
      <c r="M43" s="67">
        <f>Tabla520[[#This Row],[DNP]]</f>
        <v>0</v>
      </c>
      <c r="N43" s="67">
        <f>Tabla1023[[#This Row],[h pupilar]]</f>
        <v>0</v>
      </c>
      <c r="O43" s="122"/>
      <c r="P43" s="123"/>
      <c r="Q43" s="124"/>
      <c r="R43" s="123"/>
      <c r="S43" s="129"/>
    </row>
    <row r="44" spans="1:19" x14ac:dyDescent="0.25">
      <c r="A44" s="139">
        <v>41</v>
      </c>
      <c r="B44" s="70">
        <f>Tabla419[[#This Row],[Eix]]</f>
        <v>0</v>
      </c>
      <c r="C44" s="67">
        <f>Tabla419[[#This Row],[Cilindre]]</f>
        <v>0</v>
      </c>
      <c r="D44" s="67">
        <f>Tabla419[[#This Row],[Esfera]]</f>
        <v>0</v>
      </c>
      <c r="E44" s="67">
        <f>Tabla419[[#This Row],[DNP]]</f>
        <v>0</v>
      </c>
      <c r="F44" s="67">
        <f>Tabla1023[[#This Row],[h pupilar]]</f>
        <v>0</v>
      </c>
      <c r="G44" s="122"/>
      <c r="H44" s="123"/>
      <c r="I44" s="124"/>
      <c r="J44" s="67">
        <f>Tabla520[[#This Row],[Eix]]</f>
        <v>0</v>
      </c>
      <c r="K44" s="67">
        <f>Tabla520[[#This Row],[Cilindre]]</f>
        <v>0</v>
      </c>
      <c r="L44" s="67">
        <f>Tabla520[[#This Row],[Esfera]]</f>
        <v>0</v>
      </c>
      <c r="M44" s="67">
        <f>Tabla520[[#This Row],[DNP]]</f>
        <v>0</v>
      </c>
      <c r="N44" s="67">
        <f>Tabla1023[[#This Row],[h pupilar]]</f>
        <v>0</v>
      </c>
      <c r="O44" s="122"/>
      <c r="P44" s="123"/>
      <c r="Q44" s="124"/>
      <c r="R44" s="123"/>
      <c r="S44" s="129"/>
    </row>
    <row r="45" spans="1:19" x14ac:dyDescent="0.25">
      <c r="A45" s="138">
        <v>42</v>
      </c>
      <c r="B45" s="70">
        <f>Tabla419[[#This Row],[Eix]]</f>
        <v>0</v>
      </c>
      <c r="C45" s="67">
        <f>Tabla419[[#This Row],[Cilindre]]</f>
        <v>0</v>
      </c>
      <c r="D45" s="67">
        <f>Tabla419[[#This Row],[Esfera]]</f>
        <v>0</v>
      </c>
      <c r="E45" s="67">
        <f>Tabla419[[#This Row],[DNP]]</f>
        <v>0</v>
      </c>
      <c r="F45" s="67">
        <f>Tabla1023[[#This Row],[h pupilar]]</f>
        <v>0</v>
      </c>
      <c r="G45" s="122"/>
      <c r="H45" s="123"/>
      <c r="I45" s="124"/>
      <c r="J45" s="67">
        <f>Tabla520[[#This Row],[Eix]]</f>
        <v>0</v>
      </c>
      <c r="K45" s="67">
        <f>Tabla520[[#This Row],[Cilindre]]</f>
        <v>0</v>
      </c>
      <c r="L45" s="67">
        <f>Tabla520[[#This Row],[Esfera]]</f>
        <v>0</v>
      </c>
      <c r="M45" s="67">
        <f>Tabla520[[#This Row],[DNP]]</f>
        <v>0</v>
      </c>
      <c r="N45" s="67">
        <f>Tabla1023[[#This Row],[h pupilar]]</f>
        <v>0</v>
      </c>
      <c r="O45" s="122"/>
      <c r="P45" s="123"/>
      <c r="Q45" s="124"/>
      <c r="R45" s="123"/>
      <c r="S45" s="129"/>
    </row>
    <row r="46" spans="1:19" x14ac:dyDescent="0.25">
      <c r="A46" s="139">
        <v>43</v>
      </c>
      <c r="B46" s="70">
        <f>Tabla419[[#This Row],[Eix]]</f>
        <v>0</v>
      </c>
      <c r="C46" s="67">
        <f>Tabla419[[#This Row],[Cilindre]]</f>
        <v>0</v>
      </c>
      <c r="D46" s="67">
        <f>Tabla419[[#This Row],[Esfera]]</f>
        <v>0</v>
      </c>
      <c r="E46" s="67">
        <f>Tabla419[[#This Row],[DNP]]</f>
        <v>0</v>
      </c>
      <c r="F46" s="67">
        <f>Tabla1023[[#This Row],[h pupilar]]</f>
        <v>0</v>
      </c>
      <c r="G46" s="122"/>
      <c r="H46" s="123"/>
      <c r="I46" s="124"/>
      <c r="J46" s="67">
        <f>Tabla520[[#This Row],[Eix]]</f>
        <v>0</v>
      </c>
      <c r="K46" s="67">
        <f>Tabla520[[#This Row],[Cilindre]]</f>
        <v>0</v>
      </c>
      <c r="L46" s="67">
        <f>Tabla520[[#This Row],[Esfera]]</f>
        <v>0</v>
      </c>
      <c r="M46" s="67">
        <f>Tabla520[[#This Row],[DNP]]</f>
        <v>0</v>
      </c>
      <c r="N46" s="67">
        <f>Tabla1023[[#This Row],[h pupilar]]</f>
        <v>0</v>
      </c>
      <c r="O46" s="122"/>
      <c r="P46" s="123"/>
      <c r="Q46" s="124"/>
      <c r="R46" s="123"/>
      <c r="S46" s="129"/>
    </row>
    <row r="47" spans="1:19" x14ac:dyDescent="0.25">
      <c r="A47" s="138">
        <v>44</v>
      </c>
      <c r="B47" s="70">
        <f>Tabla419[[#This Row],[Eix]]</f>
        <v>0</v>
      </c>
      <c r="C47" s="67">
        <f>Tabla419[[#This Row],[Cilindre]]</f>
        <v>0</v>
      </c>
      <c r="D47" s="67">
        <f>Tabla419[[#This Row],[Esfera]]</f>
        <v>0</v>
      </c>
      <c r="E47" s="67">
        <f>Tabla419[[#This Row],[DNP]]</f>
        <v>0</v>
      </c>
      <c r="F47" s="67">
        <f>Tabla1023[[#This Row],[h pupilar]]</f>
        <v>0</v>
      </c>
      <c r="G47" s="122"/>
      <c r="H47" s="123"/>
      <c r="I47" s="124"/>
      <c r="J47" s="67">
        <f>Tabla520[[#This Row],[Eix]]</f>
        <v>0</v>
      </c>
      <c r="K47" s="67">
        <f>Tabla520[[#This Row],[Cilindre]]</f>
        <v>0</v>
      </c>
      <c r="L47" s="67">
        <f>Tabla520[[#This Row],[Esfera]]</f>
        <v>0</v>
      </c>
      <c r="M47" s="67">
        <f>Tabla520[[#This Row],[DNP]]</f>
        <v>0</v>
      </c>
      <c r="N47" s="67">
        <f>Tabla1023[[#This Row],[h pupilar]]</f>
        <v>0</v>
      </c>
      <c r="O47" s="122"/>
      <c r="P47" s="123"/>
      <c r="Q47" s="124"/>
      <c r="R47" s="123"/>
      <c r="S47" s="129"/>
    </row>
    <row r="48" spans="1:19" x14ac:dyDescent="0.25">
      <c r="A48" s="139">
        <v>45</v>
      </c>
      <c r="B48" s="70">
        <f>Tabla419[[#This Row],[Eix]]</f>
        <v>0</v>
      </c>
      <c r="C48" s="67">
        <f>Tabla419[[#This Row],[Cilindre]]</f>
        <v>0</v>
      </c>
      <c r="D48" s="67">
        <f>Tabla419[[#This Row],[Esfera]]</f>
        <v>0</v>
      </c>
      <c r="E48" s="67">
        <f>Tabla419[[#This Row],[DNP]]</f>
        <v>0</v>
      </c>
      <c r="F48" s="67">
        <f>Tabla1023[[#This Row],[h pupilar]]</f>
        <v>0</v>
      </c>
      <c r="G48" s="122"/>
      <c r="H48" s="123"/>
      <c r="I48" s="124"/>
      <c r="J48" s="67">
        <f>Tabla520[[#This Row],[Eix]]</f>
        <v>0</v>
      </c>
      <c r="K48" s="67">
        <f>Tabla520[[#This Row],[Cilindre]]</f>
        <v>0</v>
      </c>
      <c r="L48" s="67">
        <f>Tabla520[[#This Row],[Esfera]]</f>
        <v>0</v>
      </c>
      <c r="M48" s="67">
        <f>Tabla520[[#This Row],[DNP]]</f>
        <v>0</v>
      </c>
      <c r="N48" s="67">
        <f>Tabla1023[[#This Row],[h pupilar]]</f>
        <v>0</v>
      </c>
      <c r="O48" s="122"/>
      <c r="P48" s="123"/>
      <c r="Q48" s="124"/>
      <c r="R48" s="123"/>
      <c r="S48" s="129"/>
    </row>
    <row r="49" spans="1:19" x14ac:dyDescent="0.25">
      <c r="A49" s="138">
        <v>46</v>
      </c>
      <c r="B49" s="70">
        <f>Tabla419[[#This Row],[Eix]]</f>
        <v>0</v>
      </c>
      <c r="C49" s="67">
        <f>Tabla419[[#This Row],[Cilindre]]</f>
        <v>0</v>
      </c>
      <c r="D49" s="67">
        <f>Tabla419[[#This Row],[Esfera]]</f>
        <v>0</v>
      </c>
      <c r="E49" s="67">
        <f>Tabla419[[#This Row],[DNP]]</f>
        <v>0</v>
      </c>
      <c r="F49" s="67">
        <f>Tabla1023[[#This Row],[h pupilar]]</f>
        <v>0</v>
      </c>
      <c r="G49" s="122"/>
      <c r="H49" s="123"/>
      <c r="I49" s="124"/>
      <c r="J49" s="67">
        <f>Tabla520[[#This Row],[Eix]]</f>
        <v>0</v>
      </c>
      <c r="K49" s="67">
        <f>Tabla520[[#This Row],[Cilindre]]</f>
        <v>0</v>
      </c>
      <c r="L49" s="67">
        <f>Tabla520[[#This Row],[Esfera]]</f>
        <v>0</v>
      </c>
      <c r="M49" s="67">
        <f>Tabla520[[#This Row],[DNP]]</f>
        <v>0</v>
      </c>
      <c r="N49" s="67">
        <f>Tabla1023[[#This Row],[h pupilar]]</f>
        <v>0</v>
      </c>
      <c r="O49" s="122"/>
      <c r="P49" s="123"/>
      <c r="Q49" s="124"/>
      <c r="R49" s="123"/>
      <c r="S49" s="129"/>
    </row>
    <row r="50" spans="1:19" x14ac:dyDescent="0.25">
      <c r="A50" s="139">
        <v>47</v>
      </c>
      <c r="B50" s="70">
        <f>Tabla419[[#This Row],[Eix]]</f>
        <v>0</v>
      </c>
      <c r="C50" s="67">
        <f>Tabla419[[#This Row],[Cilindre]]</f>
        <v>0</v>
      </c>
      <c r="D50" s="67">
        <f>Tabla419[[#This Row],[Esfera]]</f>
        <v>0</v>
      </c>
      <c r="E50" s="67">
        <f>Tabla419[[#This Row],[DNP]]</f>
        <v>0</v>
      </c>
      <c r="F50" s="67">
        <f>Tabla1023[[#This Row],[h pupilar]]</f>
        <v>0</v>
      </c>
      <c r="G50" s="122"/>
      <c r="H50" s="123"/>
      <c r="I50" s="124"/>
      <c r="J50" s="67">
        <f>Tabla520[[#This Row],[Eix]]</f>
        <v>0</v>
      </c>
      <c r="K50" s="67">
        <f>Tabla520[[#This Row],[Cilindre]]</f>
        <v>0</v>
      </c>
      <c r="L50" s="67">
        <f>Tabla520[[#This Row],[Esfera]]</f>
        <v>0</v>
      </c>
      <c r="M50" s="67">
        <f>Tabla520[[#This Row],[DNP]]</f>
        <v>0</v>
      </c>
      <c r="N50" s="67">
        <f>Tabla1023[[#This Row],[h pupilar]]</f>
        <v>0</v>
      </c>
      <c r="O50" s="122"/>
      <c r="P50" s="123"/>
      <c r="Q50" s="124"/>
      <c r="R50" s="123"/>
      <c r="S50" s="129"/>
    </row>
    <row r="51" spans="1:19" x14ac:dyDescent="0.25">
      <c r="A51" s="138">
        <v>48</v>
      </c>
      <c r="B51" s="70">
        <f>Tabla419[[#This Row],[Eix]]</f>
        <v>0</v>
      </c>
      <c r="C51" s="67">
        <f>Tabla419[[#This Row],[Cilindre]]</f>
        <v>0</v>
      </c>
      <c r="D51" s="67">
        <f>Tabla419[[#This Row],[Esfera]]</f>
        <v>0</v>
      </c>
      <c r="E51" s="67">
        <f>Tabla419[[#This Row],[DNP]]</f>
        <v>0</v>
      </c>
      <c r="F51" s="67">
        <f>Tabla1023[[#This Row],[h pupilar]]</f>
        <v>0</v>
      </c>
      <c r="G51" s="122"/>
      <c r="H51" s="123"/>
      <c r="I51" s="124"/>
      <c r="J51" s="67">
        <f>Tabla520[[#This Row],[Eix]]</f>
        <v>0</v>
      </c>
      <c r="K51" s="67">
        <f>Tabla520[[#This Row],[Cilindre]]</f>
        <v>0</v>
      </c>
      <c r="L51" s="67">
        <f>Tabla520[[#This Row],[Esfera]]</f>
        <v>0</v>
      </c>
      <c r="M51" s="67">
        <f>Tabla520[[#This Row],[DNP]]</f>
        <v>0</v>
      </c>
      <c r="N51" s="67">
        <f>Tabla1023[[#This Row],[h pupilar]]</f>
        <v>0</v>
      </c>
      <c r="O51" s="122"/>
      <c r="P51" s="123"/>
      <c r="Q51" s="124"/>
      <c r="R51" s="123"/>
      <c r="S51" s="129"/>
    </row>
    <row r="52" spans="1:19" x14ac:dyDescent="0.25">
      <c r="A52" s="139">
        <v>49</v>
      </c>
      <c r="B52" s="70">
        <f>Tabla419[[#This Row],[Eix]]</f>
        <v>0</v>
      </c>
      <c r="C52" s="67">
        <f>Tabla419[[#This Row],[Cilindre]]</f>
        <v>0</v>
      </c>
      <c r="D52" s="67">
        <f>Tabla419[[#This Row],[Esfera]]</f>
        <v>0</v>
      </c>
      <c r="E52" s="67">
        <f>Tabla419[[#This Row],[DNP]]</f>
        <v>0</v>
      </c>
      <c r="F52" s="67">
        <f>Tabla1023[[#This Row],[h pupilar]]</f>
        <v>0</v>
      </c>
      <c r="G52" s="122"/>
      <c r="H52" s="123"/>
      <c r="I52" s="124"/>
      <c r="J52" s="67">
        <f>Tabla520[[#This Row],[Eix]]</f>
        <v>0</v>
      </c>
      <c r="K52" s="67">
        <f>Tabla520[[#This Row],[Cilindre]]</f>
        <v>0</v>
      </c>
      <c r="L52" s="67">
        <f>Tabla520[[#This Row],[Esfera]]</f>
        <v>0</v>
      </c>
      <c r="M52" s="67">
        <f>Tabla520[[#This Row],[DNP]]</f>
        <v>0</v>
      </c>
      <c r="N52" s="67">
        <f>Tabla1023[[#This Row],[h pupilar]]</f>
        <v>0</v>
      </c>
      <c r="O52" s="122"/>
      <c r="P52" s="123"/>
      <c r="Q52" s="124"/>
      <c r="R52" s="123"/>
      <c r="S52" s="129"/>
    </row>
    <row r="53" spans="1:19" ht="15.75" thickBot="1" x14ac:dyDescent="0.3">
      <c r="A53" s="140">
        <v>50</v>
      </c>
      <c r="B53" s="71">
        <f>Tabla419[[#This Row],[Eix]]</f>
        <v>0</v>
      </c>
      <c r="C53" s="72">
        <f>Tabla419[[#This Row],[Cilindre]]</f>
        <v>0</v>
      </c>
      <c r="D53" s="72">
        <f>Tabla419[[#This Row],[Esfera]]</f>
        <v>0</v>
      </c>
      <c r="E53" s="72">
        <f>Tabla419[[#This Row],[DNP]]</f>
        <v>0</v>
      </c>
      <c r="F53" s="72">
        <f>Tabla1023[[#This Row],[h pupilar]]</f>
        <v>0</v>
      </c>
      <c r="G53" s="125"/>
      <c r="H53" s="126"/>
      <c r="I53" s="127"/>
      <c r="J53" s="67">
        <f>Tabla520[[#This Row],[Eix]]</f>
        <v>0</v>
      </c>
      <c r="K53" s="67">
        <f>Tabla520[[#This Row],[Cilindre]]</f>
        <v>0</v>
      </c>
      <c r="L53" s="67">
        <f>Tabla520[[#This Row],[Esfera]]</f>
        <v>0</v>
      </c>
      <c r="M53" s="67">
        <f>Tabla520[[#This Row],[DNP]]</f>
        <v>0</v>
      </c>
      <c r="N53" s="67">
        <f>Tabla1023[[#This Row],[h pupilar]]</f>
        <v>0</v>
      </c>
      <c r="O53" s="125"/>
      <c r="P53" s="126"/>
      <c r="Q53" s="127"/>
      <c r="R53" s="123"/>
      <c r="S53" s="129"/>
    </row>
    <row r="54" spans="1:19" ht="15.75" thickBot="1" x14ac:dyDescent="0.3">
      <c r="A54" s="131"/>
      <c r="B54" s="246"/>
      <c r="C54" s="244"/>
      <c r="D54" s="244"/>
      <c r="E54" s="244"/>
      <c r="F54" s="245"/>
      <c r="G54" s="246"/>
      <c r="H54" s="244"/>
      <c r="I54" s="245"/>
      <c r="J54" s="247"/>
      <c r="K54" s="247"/>
      <c r="L54" s="247"/>
      <c r="M54" s="247"/>
      <c r="N54" s="248"/>
      <c r="O54" s="246"/>
      <c r="P54" s="244"/>
      <c r="Q54" s="245"/>
      <c r="R54" s="131"/>
    </row>
    <row r="55" spans="1:19" x14ac:dyDescent="0.25">
      <c r="A55" s="132" t="s">
        <v>62</v>
      </c>
      <c r="B55" s="235"/>
      <c r="C55" s="236"/>
      <c r="D55" s="236"/>
      <c r="E55" s="236"/>
      <c r="F55" s="237"/>
      <c r="G55" s="84">
        <f>COUNTBLANK(Tabla2650[Eix])</f>
        <v>50</v>
      </c>
      <c r="H55" s="85">
        <f>COUNTBLANK(Tabla2650[DNC])</f>
        <v>50</v>
      </c>
      <c r="I55" s="87">
        <f>COUNTBLANK(Tabla2650[hc])</f>
        <v>50</v>
      </c>
      <c r="J55" s="236"/>
      <c r="K55" s="236"/>
      <c r="L55" s="236"/>
      <c r="M55" s="236"/>
      <c r="N55" s="237"/>
      <c r="O55" s="84">
        <f>COUNTBLANK(Tabla262951[Eix])</f>
        <v>50</v>
      </c>
      <c r="P55" s="85">
        <f>COUNTBLANK(Tabla262951[DNC])</f>
        <v>50</v>
      </c>
      <c r="Q55" s="87">
        <f>COUNTBLANK(Tabla262951[hc])</f>
        <v>50</v>
      </c>
      <c r="R55" s="133">
        <f>COUNTBLANK(Tabla3456[[#All],[Sí / NO]])</f>
        <v>50</v>
      </c>
    </row>
    <row r="56" spans="1:19" ht="15.75" thickBot="1" x14ac:dyDescent="0.3">
      <c r="A56" s="134" t="s">
        <v>63</v>
      </c>
      <c r="B56" s="238"/>
      <c r="C56" s="239"/>
      <c r="D56" s="239"/>
      <c r="E56" s="239"/>
      <c r="F56" s="240"/>
      <c r="G56" s="94">
        <f>50-G55</f>
        <v>0</v>
      </c>
      <c r="H56" s="95">
        <f>50-H55</f>
        <v>0</v>
      </c>
      <c r="I56" s="97">
        <f>50-I55</f>
        <v>0</v>
      </c>
      <c r="J56" s="239"/>
      <c r="K56" s="239"/>
      <c r="L56" s="239"/>
      <c r="M56" s="239"/>
      <c r="N56" s="240"/>
      <c r="O56" s="94">
        <f>50-O55</f>
        <v>0</v>
      </c>
      <c r="P56" s="95">
        <f>50-P55</f>
        <v>0</v>
      </c>
      <c r="Q56" s="97">
        <f>50-Q55</f>
        <v>0</v>
      </c>
      <c r="R56" s="135">
        <f>50-R55</f>
        <v>0</v>
      </c>
    </row>
    <row r="57" spans="1:19" ht="15.75" thickBot="1" x14ac:dyDescent="0.3">
      <c r="A57" s="181" t="s">
        <v>110</v>
      </c>
      <c r="B57" s="241"/>
      <c r="C57" s="242"/>
      <c r="D57" s="242"/>
      <c r="E57" s="242"/>
      <c r="F57" s="243"/>
      <c r="G57" s="116">
        <f>G56*1/50</f>
        <v>0</v>
      </c>
      <c r="H57" s="117">
        <f>H56*1/50</f>
        <v>0</v>
      </c>
      <c r="I57" s="118">
        <f>I56*1/50</f>
        <v>0</v>
      </c>
      <c r="J57" s="242"/>
      <c r="K57" s="242"/>
      <c r="L57" s="242"/>
      <c r="M57" s="242"/>
      <c r="N57" s="243"/>
      <c r="O57" s="116">
        <f>O56*1/50</f>
        <v>0</v>
      </c>
      <c r="P57" s="117">
        <f>P56*1/50</f>
        <v>0</v>
      </c>
      <c r="Q57" s="118">
        <f>Q56*1/50</f>
        <v>0</v>
      </c>
      <c r="R57" s="119">
        <f>R56*1/50</f>
        <v>0</v>
      </c>
    </row>
  </sheetData>
  <sheetProtection selectLockedCells="1"/>
  <mergeCells count="14">
    <mergeCell ref="B55:F57"/>
    <mergeCell ref="J55:N57"/>
    <mergeCell ref="B54:F54"/>
    <mergeCell ref="G54:I54"/>
    <mergeCell ref="O54:Q54"/>
    <mergeCell ref="J54:N54"/>
    <mergeCell ref="B1:I1"/>
    <mergeCell ref="J1:Q1"/>
    <mergeCell ref="R1:R2"/>
    <mergeCell ref="S1:S2"/>
    <mergeCell ref="B2:F2"/>
    <mergeCell ref="G2:I2"/>
    <mergeCell ref="J2:N2"/>
    <mergeCell ref="O2:Q2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CRITERIS!$R$3:$R$4</xm:f>
          </x14:formula1>
          <xm:sqref>R4:R53</xm:sqref>
        </x14:dataValidation>
        <x14:dataValidation type="list" allowBlank="1" showInputMessage="1" showErrorMessage="1" xr:uid="{00000000-0002-0000-0300-000001000000}">
          <x14:formula1>
            <xm:f>CRITERIS!$Z$3:$Z$35</xm:f>
          </x14:formula1>
          <xm:sqref>I4:I53 Q4:Q53</xm:sqref>
        </x14:dataValidation>
        <x14:dataValidation type="list" allowBlank="1" showInputMessage="1" showErrorMessage="1" xr:uid="{00000000-0002-0000-0300-000002000000}">
          <x14:formula1>
            <xm:f>CRITERIS!$G$3:$G$45</xm:f>
          </x14:formula1>
          <xm:sqref>H4:H53 P4:P53</xm:sqref>
        </x14:dataValidation>
        <x14:dataValidation type="list" allowBlank="1" showInputMessage="1" showErrorMessage="1" xr:uid="{00000000-0002-0000-0300-000003000000}">
          <x14:formula1>
            <xm:f>CRITERIS!$D$3:$D$182</xm:f>
          </x14:formula1>
          <xm:sqref>G4:G53 O4:O53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Z183"/>
  <sheetViews>
    <sheetView tabSelected="1" workbookViewId="0">
      <selection activeCell="A23" sqref="A23:XFD23"/>
    </sheetView>
  </sheetViews>
  <sheetFormatPr baseColWidth="10" defaultRowHeight="15" x14ac:dyDescent="0.25"/>
  <cols>
    <col min="3" max="3" width="14.28515625" customWidth="1"/>
    <col min="15" max="15" width="12.140625" customWidth="1"/>
    <col min="23" max="23" width="13.140625" customWidth="1"/>
  </cols>
  <sheetData>
    <row r="1" spans="1:26" ht="15.75" thickBot="1" x14ac:dyDescent="0.3">
      <c r="A1" s="252" t="s">
        <v>0</v>
      </c>
      <c r="B1" s="253"/>
      <c r="C1" s="254"/>
      <c r="D1" s="252" t="s">
        <v>12</v>
      </c>
      <c r="E1" s="253"/>
      <c r="F1" s="253"/>
      <c r="G1" s="253"/>
      <c r="H1" s="253"/>
      <c r="I1" s="253"/>
      <c r="J1" s="254"/>
      <c r="K1" s="252" t="s">
        <v>30</v>
      </c>
      <c r="L1" s="253"/>
      <c r="M1" s="253"/>
      <c r="N1" s="253"/>
      <c r="O1" s="253"/>
      <c r="P1" s="253"/>
      <c r="Q1" s="253"/>
      <c r="R1" s="254"/>
      <c r="S1" s="252" t="s">
        <v>66</v>
      </c>
      <c r="T1" s="253"/>
      <c r="U1" s="253"/>
      <c r="V1" s="253"/>
      <c r="W1" s="253"/>
      <c r="X1" s="253"/>
      <c r="Y1" s="253"/>
      <c r="Z1" s="254"/>
    </row>
    <row r="2" spans="1:26" ht="15.75" thickBot="1" x14ac:dyDescent="0.3">
      <c r="A2" s="10" t="s">
        <v>19</v>
      </c>
      <c r="B2" s="33" t="s">
        <v>20</v>
      </c>
      <c r="C2" s="10" t="s">
        <v>21</v>
      </c>
      <c r="D2" s="11" t="s">
        <v>22</v>
      </c>
      <c r="E2" s="11" t="s">
        <v>23</v>
      </c>
      <c r="F2" s="11" t="s">
        <v>24</v>
      </c>
      <c r="G2" s="11" t="s">
        <v>13</v>
      </c>
      <c r="H2" s="11" t="s">
        <v>93</v>
      </c>
      <c r="I2" s="10" t="s">
        <v>25</v>
      </c>
      <c r="J2" s="33" t="s">
        <v>26</v>
      </c>
      <c r="K2" s="33" t="s">
        <v>31</v>
      </c>
      <c r="L2" s="33" t="s">
        <v>96</v>
      </c>
      <c r="M2" s="10" t="s">
        <v>32</v>
      </c>
      <c r="N2" s="10" t="s">
        <v>33</v>
      </c>
      <c r="O2" s="10" t="s">
        <v>34</v>
      </c>
      <c r="P2" s="42" t="s">
        <v>35</v>
      </c>
      <c r="Q2" s="32" t="s">
        <v>39</v>
      </c>
      <c r="R2" s="34" t="s">
        <v>43</v>
      </c>
      <c r="S2" s="10" t="s">
        <v>32</v>
      </c>
      <c r="T2" s="34" t="s">
        <v>67</v>
      </c>
      <c r="U2" s="10" t="s">
        <v>68</v>
      </c>
      <c r="V2" s="34" t="s">
        <v>69</v>
      </c>
      <c r="W2" s="10" t="s">
        <v>70</v>
      </c>
      <c r="X2" s="34" t="s">
        <v>71</v>
      </c>
      <c r="Y2" s="10" t="s">
        <v>72</v>
      </c>
      <c r="Z2" s="35" t="s">
        <v>73</v>
      </c>
    </row>
    <row r="3" spans="1:26" x14ac:dyDescent="0.25">
      <c r="A3" s="12">
        <v>0</v>
      </c>
      <c r="B3" s="13" t="s">
        <v>2</v>
      </c>
      <c r="C3" s="14" t="s">
        <v>4</v>
      </c>
      <c r="D3" s="15">
        <v>1</v>
      </c>
      <c r="E3" s="16">
        <v>-0.25</v>
      </c>
      <c r="F3" s="143" t="s">
        <v>111</v>
      </c>
      <c r="G3" s="36" t="s">
        <v>17</v>
      </c>
      <c r="H3" s="15" t="s">
        <v>95</v>
      </c>
      <c r="I3" s="51" t="s">
        <v>27</v>
      </c>
      <c r="J3" s="17" t="s">
        <v>29</v>
      </c>
      <c r="K3" s="13" t="s">
        <v>61</v>
      </c>
      <c r="L3" s="13" t="s">
        <v>97</v>
      </c>
      <c r="M3" s="28" t="s">
        <v>48</v>
      </c>
      <c r="N3" s="36">
        <v>1.5</v>
      </c>
      <c r="O3" s="13" t="s">
        <v>50</v>
      </c>
      <c r="P3" s="211">
        <v>0</v>
      </c>
      <c r="Q3" s="41">
        <v>50</v>
      </c>
      <c r="R3" s="28" t="s">
        <v>44</v>
      </c>
      <c r="S3" s="27" t="s">
        <v>74</v>
      </c>
      <c r="T3" s="15" t="s">
        <v>78</v>
      </c>
      <c r="U3" s="15" t="s">
        <v>80</v>
      </c>
      <c r="V3" s="46" t="s">
        <v>82</v>
      </c>
      <c r="W3" s="46" t="s">
        <v>87</v>
      </c>
      <c r="X3" s="46" t="s">
        <v>87</v>
      </c>
      <c r="Y3" s="43" t="s">
        <v>84</v>
      </c>
      <c r="Z3" s="43" t="s">
        <v>80</v>
      </c>
    </row>
    <row r="4" spans="1:26" ht="15.75" thickBot="1" x14ac:dyDescent="0.3">
      <c r="A4" s="12">
        <v>1</v>
      </c>
      <c r="B4" s="18" t="s">
        <v>3</v>
      </c>
      <c r="C4" s="14" t="s">
        <v>5</v>
      </c>
      <c r="D4" s="12">
        <v>2</v>
      </c>
      <c r="E4" s="19">
        <v>-0.5</v>
      </c>
      <c r="F4" s="145">
        <v>20</v>
      </c>
      <c r="G4" s="19">
        <v>20</v>
      </c>
      <c r="H4" s="12">
        <v>0.75</v>
      </c>
      <c r="I4" s="38" t="s">
        <v>28</v>
      </c>
      <c r="J4" s="21">
        <v>0.1</v>
      </c>
      <c r="K4" s="18" t="s">
        <v>53</v>
      </c>
      <c r="L4" s="18" t="s">
        <v>98</v>
      </c>
      <c r="M4" s="9" t="s">
        <v>46</v>
      </c>
      <c r="N4" s="48">
        <v>1.6</v>
      </c>
      <c r="O4" s="18" t="s">
        <v>49</v>
      </c>
      <c r="P4" s="37">
        <v>0.5</v>
      </c>
      <c r="Q4" s="37">
        <v>55</v>
      </c>
      <c r="R4" s="31" t="s">
        <v>45</v>
      </c>
      <c r="S4" s="29" t="s">
        <v>75</v>
      </c>
      <c r="T4" s="12">
        <v>40</v>
      </c>
      <c r="U4" s="12">
        <v>10</v>
      </c>
      <c r="V4" s="47">
        <v>120</v>
      </c>
      <c r="W4" s="47">
        <v>5</v>
      </c>
      <c r="X4" s="47">
        <v>5</v>
      </c>
      <c r="Y4" s="44">
        <v>20</v>
      </c>
      <c r="Z4" s="44">
        <v>10</v>
      </c>
    </row>
    <row r="5" spans="1:26" ht="15.75" thickBot="1" x14ac:dyDescent="0.3">
      <c r="A5" s="12">
        <v>2</v>
      </c>
      <c r="B5" s="23" t="s">
        <v>8</v>
      </c>
      <c r="C5" s="14" t="s">
        <v>6</v>
      </c>
      <c r="D5" s="12">
        <v>3</v>
      </c>
      <c r="E5" s="19">
        <v>-0.75</v>
      </c>
      <c r="F5" s="144">
        <v>19.75</v>
      </c>
      <c r="G5" s="19">
        <v>20.5</v>
      </c>
      <c r="H5" s="21">
        <v>1</v>
      </c>
      <c r="I5" s="9"/>
      <c r="J5" s="21">
        <v>0.2</v>
      </c>
      <c r="K5" s="18" t="s">
        <v>54</v>
      </c>
      <c r="L5" s="23" t="s">
        <v>99</v>
      </c>
      <c r="M5" s="31" t="s">
        <v>47</v>
      </c>
      <c r="N5" s="48">
        <v>1.7</v>
      </c>
      <c r="O5" s="18" t="s">
        <v>51</v>
      </c>
      <c r="P5" s="37">
        <v>1</v>
      </c>
      <c r="Q5" s="37">
        <v>60</v>
      </c>
      <c r="R5" s="9"/>
      <c r="S5" s="29" t="s">
        <v>76</v>
      </c>
      <c r="T5" s="12">
        <v>41</v>
      </c>
      <c r="U5" s="12">
        <v>11</v>
      </c>
      <c r="V5" s="48">
        <v>125</v>
      </c>
      <c r="W5" s="47">
        <v>6</v>
      </c>
      <c r="X5" s="47">
        <v>6</v>
      </c>
      <c r="Y5" s="44">
        <v>21</v>
      </c>
      <c r="Z5" s="44">
        <v>11</v>
      </c>
    </row>
    <row r="6" spans="1:26" ht="15.75" thickBot="1" x14ac:dyDescent="0.3">
      <c r="A6" s="12">
        <v>3</v>
      </c>
      <c r="B6" s="2"/>
      <c r="C6" s="14" t="s">
        <v>9</v>
      </c>
      <c r="D6" s="12">
        <v>4</v>
      </c>
      <c r="E6" s="19">
        <v>-1</v>
      </c>
      <c r="F6" s="144">
        <v>19.5</v>
      </c>
      <c r="G6" s="19">
        <v>21</v>
      </c>
      <c r="H6" s="21">
        <v>1.25</v>
      </c>
      <c r="I6" s="9"/>
      <c r="J6" s="21">
        <v>0.3</v>
      </c>
      <c r="K6" s="18" t="s">
        <v>55</v>
      </c>
      <c r="L6" s="9"/>
      <c r="M6" s="9"/>
      <c r="N6" s="48">
        <v>1.8</v>
      </c>
      <c r="O6" s="23" t="s">
        <v>114</v>
      </c>
      <c r="P6" s="37">
        <v>1.5</v>
      </c>
      <c r="Q6" s="37">
        <v>65</v>
      </c>
      <c r="R6" s="9"/>
      <c r="S6" s="30" t="s">
        <v>77</v>
      </c>
      <c r="T6" s="12">
        <v>42</v>
      </c>
      <c r="U6" s="12">
        <v>12</v>
      </c>
      <c r="V6" s="48">
        <v>130</v>
      </c>
      <c r="W6" s="47">
        <v>7</v>
      </c>
      <c r="X6" s="47">
        <v>7</v>
      </c>
      <c r="Y6" s="44">
        <v>22</v>
      </c>
      <c r="Z6" s="44">
        <v>12</v>
      </c>
    </row>
    <row r="7" spans="1:26" ht="15.75" thickBot="1" x14ac:dyDescent="0.3">
      <c r="A7" s="12">
        <v>4</v>
      </c>
      <c r="B7" s="2"/>
      <c r="C7" s="14" t="s">
        <v>7</v>
      </c>
      <c r="D7" s="12">
        <v>5</v>
      </c>
      <c r="E7" s="19">
        <v>-1.25</v>
      </c>
      <c r="F7" s="144">
        <v>19.25</v>
      </c>
      <c r="G7" s="19">
        <v>21.5</v>
      </c>
      <c r="H7" s="21">
        <v>1.5</v>
      </c>
      <c r="I7" s="9"/>
      <c r="J7" s="21">
        <v>0.4</v>
      </c>
      <c r="K7" s="18" t="s">
        <v>56</v>
      </c>
      <c r="L7" s="9"/>
      <c r="M7" s="9"/>
      <c r="N7" s="11">
        <v>1.9</v>
      </c>
      <c r="O7" s="9"/>
      <c r="P7" s="12">
        <v>2</v>
      </c>
      <c r="Q7" s="37">
        <v>70</v>
      </c>
      <c r="R7" s="9"/>
      <c r="S7" s="9"/>
      <c r="T7" s="12">
        <v>43</v>
      </c>
      <c r="U7" s="12">
        <v>13</v>
      </c>
      <c r="V7" s="48">
        <v>135</v>
      </c>
      <c r="W7" s="47">
        <v>8</v>
      </c>
      <c r="X7" s="47">
        <v>8</v>
      </c>
      <c r="Y7" s="44">
        <v>23</v>
      </c>
      <c r="Z7" s="44">
        <v>13</v>
      </c>
    </row>
    <row r="8" spans="1:26" ht="15.75" thickBot="1" x14ac:dyDescent="0.3">
      <c r="A8" s="12">
        <v>5</v>
      </c>
      <c r="B8" s="2"/>
      <c r="C8" s="24" t="s">
        <v>8</v>
      </c>
      <c r="D8" s="12">
        <v>6</v>
      </c>
      <c r="E8" s="19">
        <v>-1.5</v>
      </c>
      <c r="F8" s="145">
        <v>19</v>
      </c>
      <c r="G8" s="19">
        <v>22</v>
      </c>
      <c r="H8" s="21">
        <v>1.75</v>
      </c>
      <c r="I8" s="9"/>
      <c r="J8" s="21">
        <v>0.5</v>
      </c>
      <c r="K8" s="18" t="s">
        <v>57</v>
      </c>
      <c r="L8" s="9"/>
      <c r="M8" s="9"/>
      <c r="N8" s="9"/>
      <c r="O8" s="9"/>
      <c r="P8" s="12">
        <v>2.5</v>
      </c>
      <c r="Q8" s="37">
        <v>75</v>
      </c>
      <c r="R8" s="9"/>
      <c r="S8" s="9"/>
      <c r="T8" s="12">
        <v>44</v>
      </c>
      <c r="U8" s="12">
        <v>14</v>
      </c>
      <c r="V8" s="48">
        <v>140</v>
      </c>
      <c r="W8" s="47">
        <v>9</v>
      </c>
      <c r="X8" s="47">
        <v>9</v>
      </c>
      <c r="Y8" s="44">
        <v>24</v>
      </c>
      <c r="Z8" s="44">
        <v>14</v>
      </c>
    </row>
    <row r="9" spans="1:26" x14ac:dyDescent="0.25">
      <c r="A9" s="12">
        <v>6</v>
      </c>
      <c r="B9" s="2"/>
      <c r="C9" s="2"/>
      <c r="D9" s="12">
        <v>7</v>
      </c>
      <c r="E9" s="19">
        <v>-1.75</v>
      </c>
      <c r="F9" s="144">
        <v>18.75</v>
      </c>
      <c r="G9" s="19">
        <v>22.5</v>
      </c>
      <c r="H9" s="21">
        <v>2</v>
      </c>
      <c r="I9" s="9"/>
      <c r="J9" s="21">
        <v>0.6</v>
      </c>
      <c r="K9" s="18" t="s">
        <v>58</v>
      </c>
      <c r="L9" s="9"/>
      <c r="M9" s="9"/>
      <c r="N9" s="9"/>
      <c r="O9" s="9"/>
      <c r="P9" s="12">
        <v>3</v>
      </c>
      <c r="Q9" s="37">
        <v>80</v>
      </c>
      <c r="R9" s="9"/>
      <c r="S9" s="9"/>
      <c r="T9" s="12">
        <v>45</v>
      </c>
      <c r="U9" s="12">
        <v>15</v>
      </c>
      <c r="V9" s="48">
        <v>145</v>
      </c>
      <c r="W9" s="47">
        <v>10</v>
      </c>
      <c r="X9" s="47">
        <v>10</v>
      </c>
      <c r="Y9" s="44">
        <v>25</v>
      </c>
      <c r="Z9" s="44">
        <v>15</v>
      </c>
    </row>
    <row r="10" spans="1:26" ht="15.75" thickBot="1" x14ac:dyDescent="0.3">
      <c r="A10" s="12">
        <v>7</v>
      </c>
      <c r="B10" s="2"/>
      <c r="C10" s="2"/>
      <c r="D10" s="12">
        <v>8</v>
      </c>
      <c r="E10" s="19">
        <v>-2</v>
      </c>
      <c r="F10" s="144">
        <v>18.5</v>
      </c>
      <c r="G10" s="19">
        <v>23</v>
      </c>
      <c r="H10" s="21">
        <v>2.25</v>
      </c>
      <c r="I10" s="9"/>
      <c r="J10" s="21">
        <v>0.7</v>
      </c>
      <c r="K10" s="18" t="s">
        <v>59</v>
      </c>
      <c r="L10" s="9"/>
      <c r="M10" s="9"/>
      <c r="N10" s="9"/>
      <c r="O10" s="9"/>
      <c r="P10" s="12">
        <v>3.5</v>
      </c>
      <c r="Q10" s="39" t="s">
        <v>52</v>
      </c>
      <c r="R10" s="9"/>
      <c r="S10" s="9"/>
      <c r="T10" s="12">
        <v>46</v>
      </c>
      <c r="U10" s="12">
        <v>16</v>
      </c>
      <c r="V10" s="48">
        <v>150</v>
      </c>
      <c r="W10" s="47">
        <v>11</v>
      </c>
      <c r="X10" s="47">
        <v>11</v>
      </c>
      <c r="Y10" s="44">
        <v>26</v>
      </c>
      <c r="Z10" s="44">
        <v>16</v>
      </c>
    </row>
    <row r="11" spans="1:26" x14ac:dyDescent="0.25">
      <c r="A11" s="12">
        <v>8</v>
      </c>
      <c r="B11" s="2"/>
      <c r="C11" s="2"/>
      <c r="D11" s="12">
        <v>9</v>
      </c>
      <c r="E11" s="19">
        <v>-2.25</v>
      </c>
      <c r="F11" s="144">
        <v>18.25</v>
      </c>
      <c r="G11" s="19">
        <v>23.5</v>
      </c>
      <c r="H11" s="21">
        <v>2.5</v>
      </c>
      <c r="I11" s="9"/>
      <c r="J11" s="21">
        <v>0.8</v>
      </c>
      <c r="K11" s="18" t="s">
        <v>60</v>
      </c>
      <c r="L11" s="9"/>
      <c r="M11" s="9"/>
      <c r="N11" s="9"/>
      <c r="O11" s="9"/>
      <c r="P11" s="12">
        <v>4</v>
      </c>
      <c r="Q11" s="9"/>
      <c r="R11" s="9"/>
      <c r="S11" s="9"/>
      <c r="T11" s="12">
        <v>47</v>
      </c>
      <c r="U11" s="12">
        <v>17</v>
      </c>
      <c r="V11" s="48">
        <v>155</v>
      </c>
      <c r="W11" s="47">
        <v>12</v>
      </c>
      <c r="X11" s="47">
        <v>12</v>
      </c>
      <c r="Y11" s="44">
        <v>27</v>
      </c>
      <c r="Z11" s="44">
        <v>17</v>
      </c>
    </row>
    <row r="12" spans="1:26" ht="15.75" thickBot="1" x14ac:dyDescent="0.3">
      <c r="A12" s="12">
        <v>9</v>
      </c>
      <c r="B12" s="2"/>
      <c r="C12" s="2"/>
      <c r="D12" s="12">
        <v>10</v>
      </c>
      <c r="E12" s="19">
        <v>-2.5</v>
      </c>
      <c r="F12" s="145">
        <v>18</v>
      </c>
      <c r="G12" s="19">
        <v>24</v>
      </c>
      <c r="H12" s="21">
        <v>2.75</v>
      </c>
      <c r="I12" s="9"/>
      <c r="J12" s="21">
        <v>0.9</v>
      </c>
      <c r="K12" s="23" t="s">
        <v>8</v>
      </c>
      <c r="L12" s="9"/>
      <c r="M12" s="9"/>
      <c r="N12" s="9"/>
      <c r="O12" s="9"/>
      <c r="P12" s="12">
        <v>4.5</v>
      </c>
      <c r="Q12" s="9"/>
      <c r="R12" s="9"/>
      <c r="S12" s="9"/>
      <c r="T12" s="12">
        <v>48</v>
      </c>
      <c r="U12" s="12">
        <v>18</v>
      </c>
      <c r="V12" s="48">
        <v>160</v>
      </c>
      <c r="W12" s="47">
        <v>13</v>
      </c>
      <c r="X12" s="47">
        <v>13</v>
      </c>
      <c r="Y12" s="44">
        <v>28</v>
      </c>
      <c r="Z12" s="44">
        <v>18</v>
      </c>
    </row>
    <row r="13" spans="1:26" ht="15.75" thickBot="1" x14ac:dyDescent="0.3">
      <c r="A13" s="12">
        <v>10</v>
      </c>
      <c r="B13" s="2"/>
      <c r="C13" s="2"/>
      <c r="D13" s="12">
        <v>11</v>
      </c>
      <c r="E13" s="19">
        <v>-2.75</v>
      </c>
      <c r="F13" s="144">
        <v>17.75</v>
      </c>
      <c r="G13" s="19">
        <v>24.5</v>
      </c>
      <c r="H13" s="21">
        <v>3</v>
      </c>
      <c r="I13" s="9"/>
      <c r="J13" s="21">
        <v>1</v>
      </c>
      <c r="K13" s="9"/>
      <c r="L13" s="9"/>
      <c r="M13" s="9"/>
      <c r="N13" s="9"/>
      <c r="O13" s="9"/>
      <c r="P13" s="12">
        <v>5</v>
      </c>
      <c r="Q13" s="9"/>
      <c r="R13" s="9"/>
      <c r="S13" s="9"/>
      <c r="T13" s="12">
        <v>49</v>
      </c>
      <c r="U13" s="12">
        <v>19</v>
      </c>
      <c r="V13" s="49" t="s">
        <v>83</v>
      </c>
      <c r="W13" s="47">
        <v>14</v>
      </c>
      <c r="X13" s="47">
        <v>14</v>
      </c>
      <c r="Y13" s="44">
        <v>29</v>
      </c>
      <c r="Z13" s="44">
        <v>19</v>
      </c>
    </row>
    <row r="14" spans="1:26" ht="15.75" thickBot="1" x14ac:dyDescent="0.3">
      <c r="A14" s="12">
        <v>11</v>
      </c>
      <c r="B14" s="2"/>
      <c r="C14" s="2"/>
      <c r="D14" s="12">
        <v>12</v>
      </c>
      <c r="E14" s="19">
        <v>-3</v>
      </c>
      <c r="F14" s="144">
        <v>17.5</v>
      </c>
      <c r="G14" s="19">
        <v>25</v>
      </c>
      <c r="H14" s="25" t="s">
        <v>94</v>
      </c>
      <c r="I14" s="9"/>
      <c r="J14" s="21">
        <v>1.2</v>
      </c>
      <c r="K14" s="9"/>
      <c r="L14" s="9"/>
      <c r="M14" s="9"/>
      <c r="N14" s="9"/>
      <c r="O14" s="9"/>
      <c r="P14" s="12">
        <v>5.5</v>
      </c>
      <c r="Q14" s="9"/>
      <c r="R14" s="9"/>
      <c r="S14" s="9"/>
      <c r="T14" s="12">
        <v>50</v>
      </c>
      <c r="U14" s="12">
        <v>20</v>
      </c>
      <c r="W14" s="47">
        <v>15</v>
      </c>
      <c r="X14" s="47">
        <v>15</v>
      </c>
      <c r="Y14" s="44">
        <v>30</v>
      </c>
      <c r="Z14" s="44">
        <v>20</v>
      </c>
    </row>
    <row r="15" spans="1:26" ht="15.75" thickBot="1" x14ac:dyDescent="0.3">
      <c r="A15" s="12">
        <v>12</v>
      </c>
      <c r="B15" s="2"/>
      <c r="C15" s="2"/>
      <c r="D15" s="12">
        <v>13</v>
      </c>
      <c r="E15" s="19">
        <v>-3.25</v>
      </c>
      <c r="F15" s="144">
        <v>17.25</v>
      </c>
      <c r="G15" s="21">
        <v>25.5</v>
      </c>
      <c r="H15" s="50"/>
      <c r="I15" s="9"/>
      <c r="J15" s="25">
        <v>1.5</v>
      </c>
      <c r="K15" s="9"/>
      <c r="L15" s="9"/>
      <c r="M15" s="9"/>
      <c r="N15" s="9"/>
      <c r="O15" s="9"/>
      <c r="P15" s="12">
        <v>6</v>
      </c>
      <c r="Q15" s="9"/>
      <c r="R15" s="9"/>
      <c r="S15" s="9"/>
      <c r="T15" s="12">
        <v>51</v>
      </c>
      <c r="U15" s="12">
        <v>21</v>
      </c>
      <c r="W15" s="49" t="s">
        <v>88</v>
      </c>
      <c r="X15" s="47">
        <v>16</v>
      </c>
      <c r="Y15" s="44">
        <v>31</v>
      </c>
      <c r="Z15" s="44">
        <v>21</v>
      </c>
    </row>
    <row r="16" spans="1:26" x14ac:dyDescent="0.25">
      <c r="A16" s="12">
        <v>13</v>
      </c>
      <c r="B16" s="2"/>
      <c r="C16" s="2"/>
      <c r="D16" s="12">
        <v>14</v>
      </c>
      <c r="E16" s="19">
        <v>-3.5</v>
      </c>
      <c r="F16" s="145">
        <v>17</v>
      </c>
      <c r="G16" s="21">
        <v>26</v>
      </c>
      <c r="H16" s="50"/>
      <c r="I16" s="9"/>
      <c r="J16" s="9"/>
      <c r="K16" s="9"/>
      <c r="L16" s="9"/>
      <c r="M16" s="9"/>
      <c r="N16" s="9"/>
      <c r="O16" s="9"/>
      <c r="P16" s="12">
        <v>6.5</v>
      </c>
      <c r="Q16" s="9"/>
      <c r="R16" s="9"/>
      <c r="S16" s="9"/>
      <c r="T16" s="12">
        <v>52</v>
      </c>
      <c r="U16" s="12">
        <v>22</v>
      </c>
      <c r="X16" s="47">
        <v>17</v>
      </c>
      <c r="Y16" s="44">
        <v>32</v>
      </c>
      <c r="Z16" s="44">
        <v>22</v>
      </c>
    </row>
    <row r="17" spans="1:26" x14ac:dyDescent="0.25">
      <c r="A17" s="12">
        <v>14</v>
      </c>
      <c r="B17" s="2"/>
      <c r="C17" s="2"/>
      <c r="D17" s="12">
        <v>15</v>
      </c>
      <c r="E17" s="19">
        <v>-3.75</v>
      </c>
      <c r="F17" s="144">
        <v>16.75</v>
      </c>
      <c r="G17" s="21">
        <v>26.5</v>
      </c>
      <c r="H17" s="50"/>
      <c r="I17" s="9"/>
      <c r="J17" s="9"/>
      <c r="K17" s="9"/>
      <c r="L17" s="9"/>
      <c r="M17" s="9"/>
      <c r="N17" s="9"/>
      <c r="O17" s="9"/>
      <c r="P17" s="12">
        <v>7</v>
      </c>
      <c r="Q17" s="9"/>
      <c r="R17" s="9"/>
      <c r="S17" s="9"/>
      <c r="T17" s="12">
        <v>53</v>
      </c>
      <c r="U17" s="12">
        <v>23</v>
      </c>
      <c r="X17" s="47">
        <v>18</v>
      </c>
      <c r="Y17" s="44">
        <v>33</v>
      </c>
      <c r="Z17" s="44">
        <v>23</v>
      </c>
    </row>
    <row r="18" spans="1:26" x14ac:dyDescent="0.25">
      <c r="A18" s="12">
        <v>15</v>
      </c>
      <c r="B18" s="2"/>
      <c r="C18" s="2"/>
      <c r="D18" s="12">
        <v>16</v>
      </c>
      <c r="E18" s="19">
        <v>-4</v>
      </c>
      <c r="F18" s="144">
        <v>16.5</v>
      </c>
      <c r="G18" s="21">
        <v>27</v>
      </c>
      <c r="H18" s="50"/>
      <c r="I18" s="9"/>
      <c r="J18" s="9"/>
      <c r="K18" s="9"/>
      <c r="L18" s="9"/>
      <c r="M18" s="9"/>
      <c r="N18" s="9"/>
      <c r="O18" s="9"/>
      <c r="P18" s="12">
        <v>7.5</v>
      </c>
      <c r="Q18" s="9"/>
      <c r="R18" s="9"/>
      <c r="S18" s="9"/>
      <c r="T18" s="12">
        <v>54</v>
      </c>
      <c r="U18" s="12">
        <v>24</v>
      </c>
      <c r="X18" s="47">
        <v>19</v>
      </c>
      <c r="Y18" s="44">
        <v>34</v>
      </c>
      <c r="Z18" s="44">
        <v>24</v>
      </c>
    </row>
    <row r="19" spans="1:26" x14ac:dyDescent="0.25">
      <c r="A19" s="12">
        <v>16</v>
      </c>
      <c r="B19" s="2"/>
      <c r="C19" s="2"/>
      <c r="D19" s="12">
        <v>17</v>
      </c>
      <c r="E19" s="19">
        <v>-4.25</v>
      </c>
      <c r="F19" s="144">
        <v>16.25</v>
      </c>
      <c r="G19" s="21">
        <v>27.5</v>
      </c>
      <c r="H19" s="50"/>
      <c r="I19" s="9"/>
      <c r="J19" s="9"/>
      <c r="K19" s="9"/>
      <c r="L19" s="9"/>
      <c r="M19" s="9"/>
      <c r="N19" s="9"/>
      <c r="O19" s="9"/>
      <c r="P19" s="12">
        <v>8</v>
      </c>
      <c r="Q19" s="9"/>
      <c r="R19" s="9"/>
      <c r="S19" s="9"/>
      <c r="T19" s="12">
        <v>55</v>
      </c>
      <c r="U19" s="12">
        <v>25</v>
      </c>
      <c r="X19" s="47">
        <v>20</v>
      </c>
      <c r="Y19" s="44">
        <v>35</v>
      </c>
      <c r="Z19" s="44">
        <v>25</v>
      </c>
    </row>
    <row r="20" spans="1:26" ht="15.75" thickBot="1" x14ac:dyDescent="0.3">
      <c r="A20" s="12">
        <v>17</v>
      </c>
      <c r="B20" s="2"/>
      <c r="C20" s="2"/>
      <c r="D20" s="12">
        <v>18</v>
      </c>
      <c r="E20" s="19">
        <v>-4.5</v>
      </c>
      <c r="F20" s="145">
        <v>16</v>
      </c>
      <c r="G20" s="21">
        <v>28</v>
      </c>
      <c r="H20" s="50"/>
      <c r="I20" s="9"/>
      <c r="J20" s="9"/>
      <c r="K20" s="9"/>
      <c r="L20" s="9"/>
      <c r="M20" s="9"/>
      <c r="N20" s="9"/>
      <c r="O20" s="9"/>
      <c r="P20" s="12">
        <v>8.5</v>
      </c>
      <c r="Q20" s="9"/>
      <c r="R20" s="9"/>
      <c r="S20" s="9"/>
      <c r="T20" s="12">
        <v>56</v>
      </c>
      <c r="U20" s="11" t="s">
        <v>81</v>
      </c>
      <c r="X20" s="47">
        <v>21</v>
      </c>
      <c r="Y20" s="44">
        <v>36</v>
      </c>
      <c r="Z20" s="44">
        <v>26</v>
      </c>
    </row>
    <row r="21" spans="1:26" x14ac:dyDescent="0.25">
      <c r="A21" s="12">
        <v>18</v>
      </c>
      <c r="B21" s="2"/>
      <c r="C21" s="2"/>
      <c r="D21" s="12">
        <v>19</v>
      </c>
      <c r="E21" s="19">
        <v>-4.75</v>
      </c>
      <c r="F21" s="144">
        <v>15.75</v>
      </c>
      <c r="G21" s="21">
        <v>28.5</v>
      </c>
      <c r="H21" s="50"/>
      <c r="I21" s="9"/>
      <c r="J21" s="9"/>
      <c r="K21" s="9"/>
      <c r="L21" s="9"/>
      <c r="M21" s="9"/>
      <c r="N21" s="9"/>
      <c r="O21" s="9"/>
      <c r="P21" s="12">
        <v>9</v>
      </c>
      <c r="Q21" s="9"/>
      <c r="R21" s="9"/>
      <c r="S21" s="9"/>
      <c r="T21" s="12">
        <v>57</v>
      </c>
      <c r="U21" s="9"/>
      <c r="X21" s="47">
        <v>22</v>
      </c>
      <c r="Y21" s="44">
        <v>37</v>
      </c>
      <c r="Z21" s="44">
        <v>27</v>
      </c>
    </row>
    <row r="22" spans="1:26" x14ac:dyDescent="0.25">
      <c r="A22" s="12">
        <v>19</v>
      </c>
      <c r="B22" s="2"/>
      <c r="C22" s="2"/>
      <c r="D22" s="12">
        <v>20</v>
      </c>
      <c r="E22" s="19">
        <v>-5</v>
      </c>
      <c r="F22" s="144">
        <v>15.5</v>
      </c>
      <c r="G22" s="21">
        <v>29</v>
      </c>
      <c r="H22" s="50"/>
      <c r="I22" s="9"/>
      <c r="J22" s="9"/>
      <c r="K22" s="9"/>
      <c r="L22" s="9"/>
      <c r="M22" s="9"/>
      <c r="N22" s="9"/>
      <c r="O22" s="9"/>
      <c r="P22" s="12">
        <v>9.5</v>
      </c>
      <c r="Q22" s="9"/>
      <c r="R22" s="9"/>
      <c r="S22" s="9"/>
      <c r="T22" s="12">
        <v>58</v>
      </c>
      <c r="U22" s="9"/>
      <c r="X22" s="47">
        <v>23</v>
      </c>
      <c r="Y22" s="44">
        <v>38</v>
      </c>
      <c r="Z22" s="44">
        <v>28</v>
      </c>
    </row>
    <row r="23" spans="1:26" x14ac:dyDescent="0.25">
      <c r="A23" s="12">
        <v>20</v>
      </c>
      <c r="B23" s="2"/>
      <c r="C23" s="2"/>
      <c r="D23" s="12">
        <v>21</v>
      </c>
      <c r="E23" s="19">
        <v>-5.25</v>
      </c>
      <c r="F23" s="144">
        <v>15.25</v>
      </c>
      <c r="G23" s="21">
        <v>29.5</v>
      </c>
      <c r="H23" s="50"/>
      <c r="I23" s="9"/>
      <c r="J23" s="9"/>
      <c r="K23" s="9"/>
      <c r="L23" s="9"/>
      <c r="M23" s="9"/>
      <c r="N23" s="9"/>
      <c r="O23" s="9"/>
      <c r="P23" s="12">
        <v>10</v>
      </c>
      <c r="Q23" s="9"/>
      <c r="R23" s="9"/>
      <c r="S23" s="9"/>
      <c r="T23" s="12">
        <v>59</v>
      </c>
      <c r="U23" s="9"/>
      <c r="X23" s="47">
        <v>24</v>
      </c>
      <c r="Y23" s="44">
        <v>39</v>
      </c>
      <c r="Z23" s="44">
        <v>29</v>
      </c>
    </row>
    <row r="24" spans="1:26" ht="15.75" thickBot="1" x14ac:dyDescent="0.3">
      <c r="A24" s="12">
        <v>21</v>
      </c>
      <c r="B24" s="2"/>
      <c r="C24" s="2"/>
      <c r="D24" s="12">
        <v>22</v>
      </c>
      <c r="E24" s="19">
        <v>-5.5</v>
      </c>
      <c r="F24" s="145">
        <v>15</v>
      </c>
      <c r="G24" s="21">
        <v>30</v>
      </c>
      <c r="H24" s="50"/>
      <c r="I24" s="9"/>
      <c r="J24" s="9"/>
      <c r="K24" s="9"/>
      <c r="L24" s="9"/>
      <c r="M24" s="9"/>
      <c r="N24" s="9"/>
      <c r="O24" s="9"/>
      <c r="P24" s="11" t="s">
        <v>65</v>
      </c>
      <c r="Q24" s="9"/>
      <c r="R24" s="9"/>
      <c r="S24" s="9"/>
      <c r="T24" s="12">
        <v>60</v>
      </c>
      <c r="U24" s="9"/>
      <c r="X24" s="47">
        <v>25</v>
      </c>
      <c r="Y24" s="44">
        <v>40</v>
      </c>
      <c r="Z24" s="44">
        <v>30</v>
      </c>
    </row>
    <row r="25" spans="1:26" x14ac:dyDescent="0.25">
      <c r="A25" s="12">
        <v>22</v>
      </c>
      <c r="B25" s="2"/>
      <c r="C25" s="2"/>
      <c r="D25" s="12">
        <v>23</v>
      </c>
      <c r="E25" s="19">
        <v>-5.75</v>
      </c>
      <c r="F25" s="144">
        <v>14.75</v>
      </c>
      <c r="G25" s="21">
        <v>30.5</v>
      </c>
      <c r="H25" s="50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2">
        <v>61</v>
      </c>
      <c r="U25" s="9"/>
      <c r="X25" s="47">
        <v>26</v>
      </c>
      <c r="Y25" s="44">
        <v>41</v>
      </c>
      <c r="Z25" s="44">
        <v>31</v>
      </c>
    </row>
    <row r="26" spans="1:26" x14ac:dyDescent="0.25">
      <c r="A26" s="12">
        <v>23</v>
      </c>
      <c r="B26" s="2"/>
      <c r="C26" s="2"/>
      <c r="D26" s="12">
        <v>24</v>
      </c>
      <c r="E26" s="19">
        <v>-6</v>
      </c>
      <c r="F26" s="144">
        <v>14.5</v>
      </c>
      <c r="G26" s="21">
        <v>31</v>
      </c>
      <c r="H26" s="50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2">
        <v>62</v>
      </c>
      <c r="U26" s="9"/>
      <c r="X26" s="47">
        <v>27</v>
      </c>
      <c r="Y26" s="44">
        <v>42</v>
      </c>
      <c r="Z26" s="44">
        <v>32</v>
      </c>
    </row>
    <row r="27" spans="1:26" ht="15.75" thickBot="1" x14ac:dyDescent="0.3">
      <c r="A27" s="12">
        <v>24</v>
      </c>
      <c r="B27" s="2"/>
      <c r="C27" s="2"/>
      <c r="D27" s="12">
        <v>25</v>
      </c>
      <c r="E27" s="22" t="s">
        <v>16</v>
      </c>
      <c r="F27" s="144">
        <v>14.25</v>
      </c>
      <c r="G27" s="21">
        <v>31.5</v>
      </c>
      <c r="H27" s="50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2">
        <v>63</v>
      </c>
      <c r="U27" s="9"/>
      <c r="X27" s="47">
        <v>28</v>
      </c>
      <c r="Y27" s="44">
        <v>43</v>
      </c>
      <c r="Z27" s="44">
        <v>33</v>
      </c>
    </row>
    <row r="28" spans="1:26" x14ac:dyDescent="0.25">
      <c r="A28" s="12">
        <v>25</v>
      </c>
      <c r="B28" s="2"/>
      <c r="C28" s="2"/>
      <c r="D28" s="12">
        <v>26</v>
      </c>
      <c r="E28" s="2"/>
      <c r="F28" s="145">
        <v>14</v>
      </c>
      <c r="G28" s="21">
        <v>32</v>
      </c>
      <c r="H28" s="50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2">
        <v>64</v>
      </c>
      <c r="U28" s="9"/>
      <c r="X28" s="47">
        <v>29</v>
      </c>
      <c r="Y28" s="44">
        <v>44</v>
      </c>
      <c r="Z28" s="44">
        <v>34</v>
      </c>
    </row>
    <row r="29" spans="1:26" x14ac:dyDescent="0.25">
      <c r="A29" s="12">
        <v>26</v>
      </c>
      <c r="B29" s="2"/>
      <c r="C29" s="2"/>
      <c r="D29" s="12">
        <v>27</v>
      </c>
      <c r="E29" s="2"/>
      <c r="F29" s="144">
        <v>13.75</v>
      </c>
      <c r="G29" s="21">
        <v>32.5</v>
      </c>
      <c r="H29" s="50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12">
        <v>65</v>
      </c>
      <c r="U29" s="9"/>
      <c r="X29" s="47">
        <v>30</v>
      </c>
      <c r="Y29" s="44">
        <v>45</v>
      </c>
      <c r="Z29" s="44">
        <v>35</v>
      </c>
    </row>
    <row r="30" spans="1:26" ht="15.75" thickBot="1" x14ac:dyDescent="0.3">
      <c r="A30" s="12">
        <v>27</v>
      </c>
      <c r="B30" s="2"/>
      <c r="C30" s="2"/>
      <c r="D30" s="12">
        <v>28</v>
      </c>
      <c r="E30" s="2"/>
      <c r="F30" s="144">
        <v>13.5</v>
      </c>
      <c r="G30" s="21">
        <v>33</v>
      </c>
      <c r="H30" s="50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1" t="s">
        <v>79</v>
      </c>
      <c r="U30" s="9"/>
      <c r="X30" s="49" t="s">
        <v>89</v>
      </c>
      <c r="Y30" s="44">
        <v>46</v>
      </c>
      <c r="Z30" s="44">
        <v>36</v>
      </c>
    </row>
    <row r="31" spans="1:26" x14ac:dyDescent="0.25">
      <c r="A31" s="12">
        <v>28</v>
      </c>
      <c r="B31" s="2"/>
      <c r="C31" s="2"/>
      <c r="D31" s="12">
        <v>29</v>
      </c>
      <c r="E31" s="2"/>
      <c r="F31" s="144">
        <v>13.25</v>
      </c>
      <c r="G31" s="21">
        <v>33.5</v>
      </c>
      <c r="H31" s="50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Y31" s="44">
        <v>47</v>
      </c>
      <c r="Z31" s="44">
        <v>37</v>
      </c>
    </row>
    <row r="32" spans="1:26" x14ac:dyDescent="0.25">
      <c r="A32" s="12">
        <v>29</v>
      </c>
      <c r="B32" s="2"/>
      <c r="C32" s="2"/>
      <c r="D32" s="12">
        <v>30</v>
      </c>
      <c r="E32" s="2"/>
      <c r="F32" s="145">
        <v>13</v>
      </c>
      <c r="G32" s="21">
        <v>34</v>
      </c>
      <c r="H32" s="50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Y32" s="44">
        <v>48</v>
      </c>
      <c r="Z32" s="44">
        <v>38</v>
      </c>
    </row>
    <row r="33" spans="1:26" x14ac:dyDescent="0.25">
      <c r="A33" s="12">
        <v>30</v>
      </c>
      <c r="B33" s="2"/>
      <c r="C33" s="2"/>
      <c r="D33" s="12">
        <v>31</v>
      </c>
      <c r="E33" s="2"/>
      <c r="F33" s="144">
        <v>12.75</v>
      </c>
      <c r="G33" s="21">
        <v>34.5</v>
      </c>
      <c r="H33" s="50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Y33" s="44">
        <v>49</v>
      </c>
      <c r="Z33" s="44">
        <v>39</v>
      </c>
    </row>
    <row r="34" spans="1:26" x14ac:dyDescent="0.25">
      <c r="A34" s="12">
        <v>31</v>
      </c>
      <c r="B34" s="2"/>
      <c r="C34" s="2"/>
      <c r="D34" s="12">
        <v>32</v>
      </c>
      <c r="E34" s="2"/>
      <c r="F34" s="144">
        <v>12.5</v>
      </c>
      <c r="G34" s="21">
        <v>35</v>
      </c>
      <c r="H34" s="50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Y34" s="44">
        <v>50</v>
      </c>
      <c r="Z34" s="44">
        <v>40</v>
      </c>
    </row>
    <row r="35" spans="1:26" ht="15.75" thickBot="1" x14ac:dyDescent="0.3">
      <c r="A35" s="12">
        <v>32</v>
      </c>
      <c r="B35" s="2"/>
      <c r="C35" s="2"/>
      <c r="D35" s="12">
        <v>33</v>
      </c>
      <c r="E35" s="2"/>
      <c r="F35" s="144">
        <v>12.25</v>
      </c>
      <c r="G35" s="21">
        <v>35.5</v>
      </c>
      <c r="H35" s="50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Y35" s="45" t="s">
        <v>85</v>
      </c>
      <c r="Z35" s="45" t="s">
        <v>86</v>
      </c>
    </row>
    <row r="36" spans="1:26" x14ac:dyDescent="0.25">
      <c r="A36" s="12">
        <v>33</v>
      </c>
      <c r="B36" s="2"/>
      <c r="C36" s="2"/>
      <c r="D36" s="12">
        <v>34</v>
      </c>
      <c r="E36" s="2"/>
      <c r="F36" s="145">
        <v>12</v>
      </c>
      <c r="G36" s="21">
        <v>36</v>
      </c>
      <c r="H36" s="50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6" x14ac:dyDescent="0.25">
      <c r="A37" s="12">
        <v>34</v>
      </c>
      <c r="B37" s="2"/>
      <c r="C37" s="2"/>
      <c r="D37" s="12">
        <v>35</v>
      </c>
      <c r="E37" s="2"/>
      <c r="F37" s="144">
        <v>11.75</v>
      </c>
      <c r="G37" s="21">
        <v>36.5</v>
      </c>
      <c r="H37" s="50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6" x14ac:dyDescent="0.25">
      <c r="A38" s="12">
        <v>35</v>
      </c>
      <c r="B38" s="2"/>
      <c r="C38" s="2"/>
      <c r="D38" s="12">
        <v>36</v>
      </c>
      <c r="E38" s="2"/>
      <c r="F38" s="144">
        <v>11.5</v>
      </c>
      <c r="G38" s="21">
        <v>37</v>
      </c>
      <c r="H38" s="50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6" x14ac:dyDescent="0.25">
      <c r="A39" s="12">
        <v>36</v>
      </c>
      <c r="B39" s="2"/>
      <c r="C39" s="2"/>
      <c r="D39" s="12">
        <v>37</v>
      </c>
      <c r="E39" s="2"/>
      <c r="F39" s="144">
        <v>11.25</v>
      </c>
      <c r="G39" s="21">
        <v>37.5</v>
      </c>
      <c r="H39" s="50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6" x14ac:dyDescent="0.25">
      <c r="A40" s="12">
        <v>37</v>
      </c>
      <c r="B40" s="2"/>
      <c r="C40" s="2"/>
      <c r="D40" s="12">
        <v>38</v>
      </c>
      <c r="E40" s="2"/>
      <c r="F40" s="145">
        <v>11</v>
      </c>
      <c r="G40" s="21">
        <v>38</v>
      </c>
      <c r="H40" s="50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6" x14ac:dyDescent="0.25">
      <c r="A41" s="12">
        <v>38</v>
      </c>
      <c r="B41" s="2"/>
      <c r="C41" s="2"/>
      <c r="D41" s="12">
        <v>39</v>
      </c>
      <c r="E41" s="2"/>
      <c r="F41" s="144">
        <v>10.75</v>
      </c>
      <c r="G41" s="21">
        <v>38.5</v>
      </c>
      <c r="H41" s="50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6" x14ac:dyDescent="0.25">
      <c r="A42" s="12">
        <v>39</v>
      </c>
      <c r="B42" s="2"/>
      <c r="C42" s="2"/>
      <c r="D42" s="12">
        <v>40</v>
      </c>
      <c r="E42" s="2"/>
      <c r="F42" s="144">
        <v>10.5</v>
      </c>
      <c r="G42" s="21">
        <v>39</v>
      </c>
      <c r="H42" s="50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6" x14ac:dyDescent="0.25">
      <c r="A43" s="12">
        <v>40</v>
      </c>
      <c r="B43" s="2"/>
      <c r="C43" s="2"/>
      <c r="D43" s="12">
        <v>41</v>
      </c>
      <c r="E43" s="2"/>
      <c r="F43" s="144">
        <v>10.25</v>
      </c>
      <c r="G43" s="21">
        <v>39.5</v>
      </c>
      <c r="H43" s="50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6" x14ac:dyDescent="0.25">
      <c r="A44" s="12">
        <v>41</v>
      </c>
      <c r="B44" s="2"/>
      <c r="C44" s="2"/>
      <c r="D44" s="12">
        <v>42</v>
      </c>
      <c r="E44" s="2"/>
      <c r="F44" s="145">
        <v>10</v>
      </c>
      <c r="G44" s="21">
        <v>40</v>
      </c>
      <c r="H44" s="50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6" ht="15.75" thickBot="1" x14ac:dyDescent="0.3">
      <c r="A45" s="12">
        <v>42</v>
      </c>
      <c r="B45" s="2"/>
      <c r="C45" s="2"/>
      <c r="D45" s="12">
        <v>43</v>
      </c>
      <c r="E45" s="2"/>
      <c r="F45" s="144">
        <v>9.75</v>
      </c>
      <c r="G45" s="25" t="s">
        <v>15</v>
      </c>
      <c r="H45" s="50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6" x14ac:dyDescent="0.25">
      <c r="A46" s="12">
        <v>43</v>
      </c>
      <c r="B46" s="2"/>
      <c r="C46" s="2"/>
      <c r="D46" s="12">
        <v>44</v>
      </c>
      <c r="E46" s="2"/>
      <c r="F46" s="144">
        <v>9.5</v>
      </c>
      <c r="G46" s="26"/>
      <c r="H46" s="2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6" x14ac:dyDescent="0.25">
      <c r="A47" s="12">
        <v>44</v>
      </c>
      <c r="B47" s="2"/>
      <c r="C47" s="2"/>
      <c r="D47" s="12">
        <v>45</v>
      </c>
      <c r="E47" s="2"/>
      <c r="F47" s="144">
        <v>9.25</v>
      </c>
      <c r="G47" s="26"/>
      <c r="H47" s="2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6" x14ac:dyDescent="0.25">
      <c r="A48" s="12">
        <v>45</v>
      </c>
      <c r="B48" s="2"/>
      <c r="C48" s="2"/>
      <c r="D48" s="12">
        <v>46</v>
      </c>
      <c r="E48" s="2"/>
      <c r="F48" s="145">
        <v>9</v>
      </c>
      <c r="G48" s="26"/>
      <c r="H48" s="26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25">
      <c r="A49" s="12">
        <v>46</v>
      </c>
      <c r="B49" s="2"/>
      <c r="C49" s="2"/>
      <c r="D49" s="12">
        <v>47</v>
      </c>
      <c r="E49" s="2"/>
      <c r="F49" s="144">
        <v>8.75</v>
      </c>
      <c r="G49" s="26"/>
      <c r="H49" s="26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25">
      <c r="A50" s="12">
        <v>47</v>
      </c>
      <c r="B50" s="2"/>
      <c r="C50" s="2"/>
      <c r="D50" s="12">
        <v>48</v>
      </c>
      <c r="E50" s="2"/>
      <c r="F50" s="144">
        <v>8.5</v>
      </c>
      <c r="G50" s="26"/>
      <c r="H50" s="2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x14ac:dyDescent="0.25">
      <c r="A51" s="12">
        <v>48</v>
      </c>
      <c r="B51" s="2"/>
      <c r="C51" s="2"/>
      <c r="D51" s="12">
        <v>49</v>
      </c>
      <c r="E51" s="2"/>
      <c r="F51" s="144">
        <v>8.25</v>
      </c>
      <c r="G51" s="26"/>
      <c r="H51" s="26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25">
      <c r="A52" s="12">
        <v>49</v>
      </c>
      <c r="B52" s="2"/>
      <c r="C52" s="2"/>
      <c r="D52" s="12">
        <v>50</v>
      </c>
      <c r="E52" s="2"/>
      <c r="F52" s="145">
        <v>8</v>
      </c>
      <c r="G52" s="26"/>
      <c r="H52" s="26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25">
      <c r="A53" s="12">
        <v>50</v>
      </c>
      <c r="B53" s="2"/>
      <c r="C53" s="2"/>
      <c r="D53" s="12">
        <v>51</v>
      </c>
      <c r="E53" s="2"/>
      <c r="F53" s="144">
        <v>7.75</v>
      </c>
      <c r="G53" s="26"/>
      <c r="H53" s="26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25">
      <c r="A54" s="12">
        <v>51</v>
      </c>
      <c r="B54" s="2"/>
      <c r="C54" s="2"/>
      <c r="D54" s="12">
        <v>52</v>
      </c>
      <c r="E54" s="2"/>
      <c r="F54" s="144">
        <v>7.5</v>
      </c>
      <c r="G54" s="26"/>
      <c r="H54" s="26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25">
      <c r="A55" s="12">
        <v>52</v>
      </c>
      <c r="B55" s="2"/>
      <c r="C55" s="2"/>
      <c r="D55" s="12">
        <v>53</v>
      </c>
      <c r="E55" s="2"/>
      <c r="F55" s="144">
        <v>7.25</v>
      </c>
      <c r="G55" s="26"/>
      <c r="H55" s="26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25">
      <c r="A56" s="12">
        <v>53</v>
      </c>
      <c r="B56" s="2"/>
      <c r="C56" s="2"/>
      <c r="D56" s="12">
        <v>54</v>
      </c>
      <c r="E56" s="2"/>
      <c r="F56" s="145">
        <v>7</v>
      </c>
      <c r="G56" s="26"/>
      <c r="H56" s="26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25">
      <c r="A57" s="12">
        <v>54</v>
      </c>
      <c r="B57" s="2"/>
      <c r="C57" s="2"/>
      <c r="D57" s="12">
        <v>55</v>
      </c>
      <c r="E57" s="2"/>
      <c r="F57" s="144">
        <v>6.75</v>
      </c>
      <c r="G57" s="26"/>
      <c r="H57" s="2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x14ac:dyDescent="0.25">
      <c r="A58" s="12">
        <v>55</v>
      </c>
      <c r="B58" s="2"/>
      <c r="C58" s="2"/>
      <c r="D58" s="12">
        <v>56</v>
      </c>
      <c r="E58" s="2"/>
      <c r="F58" s="144">
        <v>6.5</v>
      </c>
      <c r="G58" s="26"/>
      <c r="H58" s="26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x14ac:dyDescent="0.25">
      <c r="A59" s="12">
        <v>56</v>
      </c>
      <c r="B59" s="2"/>
      <c r="C59" s="2"/>
      <c r="D59" s="12">
        <v>57</v>
      </c>
      <c r="E59" s="2"/>
      <c r="F59" s="144">
        <v>6.25</v>
      </c>
      <c r="G59" s="26"/>
      <c r="H59" s="26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x14ac:dyDescent="0.25">
      <c r="A60" s="12">
        <v>57</v>
      </c>
      <c r="B60" s="2"/>
      <c r="C60" s="2"/>
      <c r="D60" s="12">
        <v>58</v>
      </c>
      <c r="E60" s="2"/>
      <c r="F60" s="145">
        <v>6</v>
      </c>
      <c r="G60" s="26"/>
      <c r="H60" s="2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x14ac:dyDescent="0.25">
      <c r="A61" s="12">
        <v>58</v>
      </c>
      <c r="B61" s="2"/>
      <c r="C61" s="2"/>
      <c r="D61" s="12">
        <v>59</v>
      </c>
      <c r="E61" s="2"/>
      <c r="F61" s="144">
        <v>5.75</v>
      </c>
      <c r="G61" s="26"/>
      <c r="H61" s="26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x14ac:dyDescent="0.25">
      <c r="A62" s="12">
        <v>59</v>
      </c>
      <c r="B62" s="2"/>
      <c r="C62" s="2"/>
      <c r="D62" s="12">
        <v>60</v>
      </c>
      <c r="E62" s="2"/>
      <c r="F62" s="144">
        <v>5.5</v>
      </c>
      <c r="G62" s="26"/>
      <c r="H62" s="26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x14ac:dyDescent="0.25">
      <c r="A63" s="12">
        <v>60</v>
      </c>
      <c r="B63" s="2"/>
      <c r="C63" s="2"/>
      <c r="D63" s="12">
        <v>61</v>
      </c>
      <c r="E63" s="2"/>
      <c r="F63" s="144">
        <v>5.25</v>
      </c>
      <c r="G63" s="26"/>
      <c r="H63" s="26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x14ac:dyDescent="0.25">
      <c r="A64" s="12">
        <v>61</v>
      </c>
      <c r="B64" s="2"/>
      <c r="C64" s="2"/>
      <c r="D64" s="12">
        <v>62</v>
      </c>
      <c r="E64" s="2"/>
      <c r="F64" s="145">
        <v>5</v>
      </c>
      <c r="G64" s="26"/>
      <c r="H64" s="26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x14ac:dyDescent="0.25">
      <c r="A65" s="12">
        <v>62</v>
      </c>
      <c r="B65" s="2"/>
      <c r="C65" s="2"/>
      <c r="D65" s="12">
        <v>63</v>
      </c>
      <c r="E65" s="2"/>
      <c r="F65" s="144">
        <v>4.75</v>
      </c>
      <c r="G65" s="26"/>
      <c r="H65" s="26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x14ac:dyDescent="0.25">
      <c r="A66" s="12">
        <v>63</v>
      </c>
      <c r="B66" s="2"/>
      <c r="C66" s="2"/>
      <c r="D66" s="12">
        <v>64</v>
      </c>
      <c r="E66" s="2"/>
      <c r="F66" s="144">
        <v>4.5</v>
      </c>
      <c r="G66" s="26"/>
      <c r="H66" s="2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x14ac:dyDescent="0.25">
      <c r="A67" s="12">
        <v>64</v>
      </c>
      <c r="B67" s="2"/>
      <c r="C67" s="2"/>
      <c r="D67" s="12">
        <v>65</v>
      </c>
      <c r="E67" s="2"/>
      <c r="F67" s="144">
        <v>4.25</v>
      </c>
      <c r="G67" s="26"/>
      <c r="H67" s="26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x14ac:dyDescent="0.25">
      <c r="A68" s="12">
        <v>65</v>
      </c>
      <c r="B68" s="2"/>
      <c r="C68" s="2"/>
      <c r="D68" s="12">
        <v>66</v>
      </c>
      <c r="E68" s="2"/>
      <c r="F68" s="145">
        <v>4</v>
      </c>
      <c r="G68" s="26"/>
      <c r="H68" s="26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x14ac:dyDescent="0.25">
      <c r="A69" s="12">
        <v>66</v>
      </c>
      <c r="B69" s="2"/>
      <c r="C69" s="2"/>
      <c r="D69" s="12">
        <v>67</v>
      </c>
      <c r="E69" s="2"/>
      <c r="F69" s="144">
        <v>3.75</v>
      </c>
      <c r="G69" s="26"/>
      <c r="H69" s="26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x14ac:dyDescent="0.25">
      <c r="A70" s="12">
        <v>67</v>
      </c>
      <c r="B70" s="2"/>
      <c r="C70" s="2"/>
      <c r="D70" s="12">
        <v>68</v>
      </c>
      <c r="E70" s="2"/>
      <c r="F70" s="144">
        <v>3.5</v>
      </c>
      <c r="G70" s="26"/>
      <c r="H70" s="26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x14ac:dyDescent="0.25">
      <c r="A71" s="12">
        <v>68</v>
      </c>
      <c r="B71" s="2"/>
      <c r="C71" s="2"/>
      <c r="D71" s="12">
        <v>69</v>
      </c>
      <c r="E71" s="2"/>
      <c r="F71" s="144">
        <v>3.25</v>
      </c>
      <c r="G71" s="26"/>
      <c r="H71" s="26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x14ac:dyDescent="0.25">
      <c r="A72" s="12">
        <v>69</v>
      </c>
      <c r="B72" s="2"/>
      <c r="C72" s="2"/>
      <c r="D72" s="12">
        <v>70</v>
      </c>
      <c r="E72" s="2"/>
      <c r="F72" s="145">
        <v>3</v>
      </c>
      <c r="G72" s="26"/>
      <c r="H72" s="26"/>
      <c r="I72" s="170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x14ac:dyDescent="0.25">
      <c r="A73" s="12">
        <v>70</v>
      </c>
      <c r="B73" s="2"/>
      <c r="C73" s="2"/>
      <c r="D73" s="12">
        <v>71</v>
      </c>
      <c r="E73" s="2"/>
      <c r="F73" s="144">
        <v>2.75</v>
      </c>
      <c r="G73" s="26"/>
      <c r="H73" s="2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x14ac:dyDescent="0.25">
      <c r="A74" s="12">
        <v>71</v>
      </c>
      <c r="B74" s="2"/>
      <c r="C74" s="2"/>
      <c r="D74" s="12">
        <v>72</v>
      </c>
      <c r="E74" s="2"/>
      <c r="F74" s="144">
        <v>2.5</v>
      </c>
      <c r="G74" s="26"/>
      <c r="H74" s="26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x14ac:dyDescent="0.25">
      <c r="A75" s="12">
        <v>72</v>
      </c>
      <c r="B75" s="2"/>
      <c r="C75" s="2"/>
      <c r="D75" s="12">
        <v>73</v>
      </c>
      <c r="E75" s="2"/>
      <c r="F75" s="144">
        <v>2.25</v>
      </c>
      <c r="G75" s="26"/>
      <c r="H75" s="2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x14ac:dyDescent="0.25">
      <c r="A76" s="12">
        <v>73</v>
      </c>
      <c r="B76" s="2"/>
      <c r="C76" s="2"/>
      <c r="D76" s="12">
        <v>74</v>
      </c>
      <c r="E76" s="2"/>
      <c r="F76" s="145">
        <v>2</v>
      </c>
      <c r="G76" s="26"/>
      <c r="H76" s="26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x14ac:dyDescent="0.25">
      <c r="A77" s="12">
        <v>74</v>
      </c>
      <c r="B77" s="2"/>
      <c r="C77" s="2"/>
      <c r="D77" s="12">
        <v>75</v>
      </c>
      <c r="E77" s="2"/>
      <c r="F77" s="144">
        <v>1.75</v>
      </c>
      <c r="G77" s="26"/>
      <c r="H77" s="2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x14ac:dyDescent="0.25">
      <c r="A78" s="12">
        <v>75</v>
      </c>
      <c r="B78" s="2"/>
      <c r="C78" s="2"/>
      <c r="D78" s="12">
        <v>76</v>
      </c>
      <c r="E78" s="2"/>
      <c r="F78" s="144">
        <v>1.5</v>
      </c>
      <c r="G78" s="26"/>
      <c r="H78" s="2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x14ac:dyDescent="0.25">
      <c r="A79" s="12">
        <v>76</v>
      </c>
      <c r="B79" s="2"/>
      <c r="C79" s="2"/>
      <c r="D79" s="12">
        <v>77</v>
      </c>
      <c r="E79" s="2"/>
      <c r="F79" s="144">
        <v>1.25</v>
      </c>
      <c r="G79" s="26"/>
      <c r="H79" s="2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x14ac:dyDescent="0.25">
      <c r="A80" s="12">
        <v>77</v>
      </c>
      <c r="B80" s="2"/>
      <c r="C80" s="2"/>
      <c r="D80" s="12">
        <v>78</v>
      </c>
      <c r="E80" s="2"/>
      <c r="F80" s="145">
        <v>1</v>
      </c>
      <c r="G80" s="26"/>
      <c r="H80" s="2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x14ac:dyDescent="0.25">
      <c r="A81" s="12">
        <v>78</v>
      </c>
      <c r="B81" s="2"/>
      <c r="C81" s="2"/>
      <c r="D81" s="12">
        <v>79</v>
      </c>
      <c r="E81" s="2"/>
      <c r="F81" s="146">
        <v>0.75</v>
      </c>
      <c r="G81" s="26"/>
      <c r="H81" s="26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x14ac:dyDescent="0.25">
      <c r="A82" s="12">
        <v>79</v>
      </c>
      <c r="B82" s="2"/>
      <c r="C82" s="2"/>
      <c r="D82" s="12">
        <v>80</v>
      </c>
      <c r="E82" s="2"/>
      <c r="F82" s="146">
        <v>0.5</v>
      </c>
      <c r="G82" s="26"/>
      <c r="H82" s="26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x14ac:dyDescent="0.25">
      <c r="A83" s="12">
        <v>80</v>
      </c>
      <c r="B83" s="2"/>
      <c r="C83" s="2"/>
      <c r="D83" s="12">
        <v>81</v>
      </c>
      <c r="E83" s="2"/>
      <c r="F83" s="146">
        <v>0.25</v>
      </c>
      <c r="G83" s="26"/>
      <c r="H83" s="26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x14ac:dyDescent="0.25">
      <c r="A84" s="12">
        <v>81</v>
      </c>
      <c r="B84" s="2"/>
      <c r="C84" s="2"/>
      <c r="D84" s="12">
        <v>82</v>
      </c>
      <c r="E84" s="2"/>
      <c r="F84" s="20">
        <v>-0.25</v>
      </c>
      <c r="G84" s="26"/>
      <c r="H84" s="26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x14ac:dyDescent="0.25">
      <c r="A85" s="12">
        <v>82</v>
      </c>
      <c r="B85" s="2"/>
      <c r="C85" s="2"/>
      <c r="D85" s="12">
        <v>83</v>
      </c>
      <c r="E85" s="2"/>
      <c r="F85" s="20">
        <v>-0.5</v>
      </c>
      <c r="G85" s="26"/>
      <c r="H85" s="26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x14ac:dyDescent="0.25">
      <c r="A86" s="12">
        <v>83</v>
      </c>
      <c r="B86" s="2"/>
      <c r="C86" s="2"/>
      <c r="D86" s="12">
        <v>84</v>
      </c>
      <c r="E86" s="2"/>
      <c r="F86" s="20">
        <v>-0.75</v>
      </c>
      <c r="G86" s="26"/>
      <c r="H86" s="26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x14ac:dyDescent="0.25">
      <c r="A87" s="12">
        <v>84</v>
      </c>
      <c r="B87" s="2"/>
      <c r="C87" s="2"/>
      <c r="D87" s="12">
        <v>85</v>
      </c>
      <c r="E87" s="2"/>
      <c r="F87" s="20">
        <v>-1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x14ac:dyDescent="0.25">
      <c r="A88" s="12">
        <v>85</v>
      </c>
      <c r="B88" s="2"/>
      <c r="C88" s="2"/>
      <c r="D88" s="12">
        <v>86</v>
      </c>
      <c r="E88" s="2"/>
      <c r="F88" s="20">
        <v>-1.25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x14ac:dyDescent="0.25">
      <c r="A89" s="12">
        <v>86</v>
      </c>
      <c r="B89" s="2"/>
      <c r="C89" s="2"/>
      <c r="D89" s="12">
        <v>87</v>
      </c>
      <c r="E89" s="2"/>
      <c r="F89" s="20">
        <v>-1.5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x14ac:dyDescent="0.25">
      <c r="A90" s="12">
        <v>87</v>
      </c>
      <c r="B90" s="2"/>
      <c r="C90" s="2"/>
      <c r="D90" s="12">
        <v>88</v>
      </c>
      <c r="E90" s="2"/>
      <c r="F90" s="20">
        <v>-1.75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x14ac:dyDescent="0.25">
      <c r="A91" s="12">
        <v>88</v>
      </c>
      <c r="B91" s="2"/>
      <c r="C91" s="2"/>
      <c r="D91" s="12">
        <v>89</v>
      </c>
      <c r="E91" s="2"/>
      <c r="F91" s="20">
        <v>-2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x14ac:dyDescent="0.25">
      <c r="A92" s="12">
        <v>89</v>
      </c>
      <c r="B92" s="2"/>
      <c r="C92" s="2"/>
      <c r="D92" s="12">
        <v>90</v>
      </c>
      <c r="E92" s="2"/>
      <c r="F92" s="20">
        <v>-2.25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x14ac:dyDescent="0.25">
      <c r="A93" s="12">
        <v>90</v>
      </c>
      <c r="B93" s="2"/>
      <c r="C93" s="2"/>
      <c r="D93" s="12">
        <v>91</v>
      </c>
      <c r="E93" s="2"/>
      <c r="F93" s="20">
        <v>-2.5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x14ac:dyDescent="0.25">
      <c r="A94" s="12">
        <v>91</v>
      </c>
      <c r="B94" s="2"/>
      <c r="C94" s="2"/>
      <c r="D94" s="12">
        <v>92</v>
      </c>
      <c r="E94" s="2"/>
      <c r="F94" s="20">
        <v>-2.75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x14ac:dyDescent="0.25">
      <c r="A95" s="12">
        <v>92</v>
      </c>
      <c r="B95" s="2"/>
      <c r="C95" s="2"/>
      <c r="D95" s="12">
        <v>93</v>
      </c>
      <c r="E95" s="2"/>
      <c r="F95" s="20">
        <v>-3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x14ac:dyDescent="0.25">
      <c r="A96" s="12">
        <v>93</v>
      </c>
      <c r="B96" s="2"/>
      <c r="C96" s="2"/>
      <c r="D96" s="12">
        <v>94</v>
      </c>
      <c r="E96" s="2"/>
      <c r="F96" s="20">
        <v>-3.25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x14ac:dyDescent="0.25">
      <c r="A97" s="12">
        <v>94</v>
      </c>
      <c r="B97" s="2"/>
      <c r="C97" s="2"/>
      <c r="D97" s="12">
        <v>95</v>
      </c>
      <c r="E97" s="2"/>
      <c r="F97" s="20">
        <v>-3.5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x14ac:dyDescent="0.25">
      <c r="A98" s="12">
        <v>95</v>
      </c>
      <c r="B98" s="2"/>
      <c r="C98" s="2"/>
      <c r="D98" s="12">
        <v>96</v>
      </c>
      <c r="E98" s="2"/>
      <c r="F98" s="20">
        <v>-3.75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x14ac:dyDescent="0.25">
      <c r="A99" s="12">
        <v>96</v>
      </c>
      <c r="B99" s="2"/>
      <c r="C99" s="2"/>
      <c r="D99" s="12">
        <v>97</v>
      </c>
      <c r="E99" s="2"/>
      <c r="F99" s="20">
        <v>-4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x14ac:dyDescent="0.25">
      <c r="A100" s="12">
        <v>97</v>
      </c>
      <c r="B100" s="2"/>
      <c r="C100" s="2"/>
      <c r="D100" s="12">
        <v>98</v>
      </c>
      <c r="E100" s="2"/>
      <c r="F100" s="20">
        <v>-4.25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x14ac:dyDescent="0.25">
      <c r="A101" s="12">
        <v>98</v>
      </c>
      <c r="B101" s="2"/>
      <c r="C101" s="2"/>
      <c r="D101" s="12">
        <v>99</v>
      </c>
      <c r="E101" s="2"/>
      <c r="F101" s="20">
        <v>-4.5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x14ac:dyDescent="0.25">
      <c r="A102" s="12">
        <v>99</v>
      </c>
      <c r="B102" s="2"/>
      <c r="C102" s="2"/>
      <c r="D102" s="12">
        <v>100</v>
      </c>
      <c r="E102" s="2"/>
      <c r="F102" s="20">
        <v>-4.75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x14ac:dyDescent="0.25">
      <c r="A103" s="12">
        <v>100</v>
      </c>
      <c r="B103" s="2"/>
      <c r="C103" s="2"/>
      <c r="D103" s="12">
        <v>101</v>
      </c>
      <c r="E103" s="2"/>
      <c r="F103" s="20">
        <v>-5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ht="15.75" thickBot="1" x14ac:dyDescent="0.3">
      <c r="A104" s="11" t="s">
        <v>1</v>
      </c>
      <c r="B104" s="2"/>
      <c r="C104" s="2"/>
      <c r="D104" s="12">
        <v>102</v>
      </c>
      <c r="E104" s="2"/>
      <c r="F104" s="20">
        <v>-5.25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x14ac:dyDescent="0.25">
      <c r="A105" s="9"/>
      <c r="B105" s="9"/>
      <c r="C105" s="9"/>
      <c r="D105" s="12">
        <v>103</v>
      </c>
      <c r="E105" s="2"/>
      <c r="F105" s="20">
        <v>-5.5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x14ac:dyDescent="0.25">
      <c r="A106" s="9"/>
      <c r="B106" s="9"/>
      <c r="C106" s="9"/>
      <c r="D106" s="12">
        <v>104</v>
      </c>
      <c r="E106" s="2"/>
      <c r="F106" s="20">
        <v>-5.75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x14ac:dyDescent="0.25">
      <c r="A107" s="9"/>
      <c r="B107" s="9"/>
      <c r="C107" s="9"/>
      <c r="D107" s="12">
        <v>105</v>
      </c>
      <c r="E107" s="2"/>
      <c r="F107" s="20">
        <v>-6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x14ac:dyDescent="0.25">
      <c r="A108" s="9"/>
      <c r="B108" s="9"/>
      <c r="C108" s="9"/>
      <c r="D108" s="12">
        <v>106</v>
      </c>
      <c r="E108" s="2"/>
      <c r="F108" s="20">
        <v>-6.25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x14ac:dyDescent="0.25">
      <c r="A109" s="9"/>
      <c r="B109" s="9"/>
      <c r="C109" s="9"/>
      <c r="D109" s="12">
        <v>107</v>
      </c>
      <c r="E109" s="2"/>
      <c r="F109" s="20">
        <v>-6.5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x14ac:dyDescent="0.25">
      <c r="A110" s="9"/>
      <c r="B110" s="9"/>
      <c r="C110" s="9"/>
      <c r="D110" s="12">
        <v>108</v>
      </c>
      <c r="E110" s="2"/>
      <c r="F110" s="20">
        <v>-6.75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x14ac:dyDescent="0.25">
      <c r="A111" s="9"/>
      <c r="B111" s="9"/>
      <c r="C111" s="9"/>
      <c r="D111" s="12">
        <v>109</v>
      </c>
      <c r="E111" s="2"/>
      <c r="F111" s="20">
        <v>-7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x14ac:dyDescent="0.25">
      <c r="A112" s="9"/>
      <c r="B112" s="9"/>
      <c r="C112" s="9"/>
      <c r="D112" s="12">
        <v>110</v>
      </c>
      <c r="E112" s="2"/>
      <c r="F112" s="20">
        <v>-7.25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x14ac:dyDescent="0.25">
      <c r="A113" s="9"/>
      <c r="B113" s="9"/>
      <c r="C113" s="9"/>
      <c r="D113" s="12">
        <v>111</v>
      </c>
      <c r="E113" s="2"/>
      <c r="F113" s="20">
        <v>-7.5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x14ac:dyDescent="0.25">
      <c r="A114" s="9"/>
      <c r="B114" s="9"/>
      <c r="C114" s="9"/>
      <c r="D114" s="12">
        <v>112</v>
      </c>
      <c r="E114" s="2"/>
      <c r="F114" s="20">
        <v>-7.75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x14ac:dyDescent="0.25">
      <c r="A115" s="9"/>
      <c r="B115" s="9"/>
      <c r="C115" s="9"/>
      <c r="D115" s="12">
        <v>113</v>
      </c>
      <c r="E115" s="2"/>
      <c r="F115" s="20">
        <v>-8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x14ac:dyDescent="0.25">
      <c r="A116" s="9"/>
      <c r="B116" s="9"/>
      <c r="C116" s="9"/>
      <c r="D116" s="12">
        <v>114</v>
      </c>
      <c r="E116" s="2"/>
      <c r="F116" s="20">
        <v>-8.25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x14ac:dyDescent="0.25">
      <c r="A117" s="9"/>
      <c r="B117" s="9"/>
      <c r="C117" s="9"/>
      <c r="D117" s="12">
        <v>115</v>
      </c>
      <c r="E117" s="2"/>
      <c r="F117" s="20">
        <v>-8.5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x14ac:dyDescent="0.25">
      <c r="A118" s="9"/>
      <c r="B118" s="9"/>
      <c r="C118" s="9"/>
      <c r="D118" s="12">
        <v>116</v>
      </c>
      <c r="E118" s="2"/>
      <c r="F118" s="20">
        <v>-8.75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x14ac:dyDescent="0.25">
      <c r="A119" s="9"/>
      <c r="B119" s="9"/>
      <c r="C119" s="9"/>
      <c r="D119" s="12">
        <v>117</v>
      </c>
      <c r="E119" s="2"/>
      <c r="F119" s="20">
        <v>-9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x14ac:dyDescent="0.25">
      <c r="A120" s="9"/>
      <c r="B120" s="9"/>
      <c r="C120" s="9"/>
      <c r="D120" s="12">
        <v>118</v>
      </c>
      <c r="E120" s="2"/>
      <c r="F120" s="20">
        <v>-9.25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x14ac:dyDescent="0.25">
      <c r="A121" s="9"/>
      <c r="B121" s="9"/>
      <c r="C121" s="9"/>
      <c r="D121" s="12">
        <v>119</v>
      </c>
      <c r="E121" s="2"/>
      <c r="F121" s="20">
        <v>-9.5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x14ac:dyDescent="0.25">
      <c r="A122" s="9"/>
      <c r="B122" s="9"/>
      <c r="C122" s="9"/>
      <c r="D122" s="12">
        <v>120</v>
      </c>
      <c r="E122" s="2"/>
      <c r="F122" s="20">
        <v>-9.75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x14ac:dyDescent="0.25">
      <c r="A123" s="9"/>
      <c r="B123" s="9"/>
      <c r="C123" s="9"/>
      <c r="D123" s="12">
        <v>121</v>
      </c>
      <c r="E123" s="2"/>
      <c r="F123" s="20">
        <v>-10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x14ac:dyDescent="0.25">
      <c r="A124" s="9"/>
      <c r="B124" s="9"/>
      <c r="C124" s="9"/>
      <c r="D124" s="12">
        <v>122</v>
      </c>
      <c r="E124" s="2"/>
      <c r="F124" s="20">
        <v>-10.25</v>
      </c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x14ac:dyDescent="0.25">
      <c r="A125" s="9"/>
      <c r="B125" s="9"/>
      <c r="C125" s="9"/>
      <c r="D125" s="12">
        <v>123</v>
      </c>
      <c r="E125" s="2"/>
      <c r="F125" s="20">
        <v>-10.5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x14ac:dyDescent="0.25">
      <c r="A126" s="9"/>
      <c r="B126" s="9"/>
      <c r="C126" s="9"/>
      <c r="D126" s="12">
        <v>124</v>
      </c>
      <c r="E126" s="2"/>
      <c r="F126" s="20">
        <v>-10.75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x14ac:dyDescent="0.25">
      <c r="A127" s="9"/>
      <c r="B127" s="9"/>
      <c r="C127" s="9"/>
      <c r="D127" s="12">
        <v>125</v>
      </c>
      <c r="E127" s="2"/>
      <c r="F127" s="20">
        <v>-11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x14ac:dyDescent="0.25">
      <c r="A128" s="9"/>
      <c r="B128" s="9"/>
      <c r="C128" s="9"/>
      <c r="D128" s="12">
        <v>126</v>
      </c>
      <c r="E128" s="2"/>
      <c r="F128" s="20">
        <v>-11.25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x14ac:dyDescent="0.25">
      <c r="A129" s="9"/>
      <c r="B129" s="9"/>
      <c r="C129" s="9"/>
      <c r="D129" s="12">
        <v>127</v>
      </c>
      <c r="E129" s="2"/>
      <c r="F129" s="20">
        <v>-11.5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x14ac:dyDescent="0.25">
      <c r="A130" s="9"/>
      <c r="B130" s="9"/>
      <c r="C130" s="9"/>
      <c r="D130" s="12">
        <v>128</v>
      </c>
      <c r="E130" s="2"/>
      <c r="F130" s="20">
        <v>-11.75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x14ac:dyDescent="0.25">
      <c r="A131" s="9"/>
      <c r="B131" s="9"/>
      <c r="C131" s="9"/>
      <c r="D131" s="12">
        <v>129</v>
      </c>
      <c r="E131" s="2"/>
      <c r="F131" s="20">
        <v>-12</v>
      </c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x14ac:dyDescent="0.25">
      <c r="A132" s="9"/>
      <c r="B132" s="9"/>
      <c r="C132" s="9"/>
      <c r="D132" s="12">
        <v>130</v>
      </c>
      <c r="E132" s="2"/>
      <c r="F132" s="20">
        <v>-12.25</v>
      </c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x14ac:dyDescent="0.25">
      <c r="A133" s="9"/>
      <c r="B133" s="9"/>
      <c r="C133" s="9"/>
      <c r="D133" s="12">
        <v>131</v>
      </c>
      <c r="E133" s="2"/>
      <c r="F133" s="20">
        <v>-12.5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x14ac:dyDescent="0.25">
      <c r="A134" s="9"/>
      <c r="B134" s="9"/>
      <c r="C134" s="9"/>
      <c r="D134" s="12">
        <v>132</v>
      </c>
      <c r="E134" s="2"/>
      <c r="F134" s="20">
        <v>-12.75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x14ac:dyDescent="0.25">
      <c r="A135" s="9"/>
      <c r="B135" s="9"/>
      <c r="C135" s="9"/>
      <c r="D135" s="12">
        <v>133</v>
      </c>
      <c r="E135" s="2"/>
      <c r="F135" s="20">
        <v>-13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x14ac:dyDescent="0.25">
      <c r="A136" s="9"/>
      <c r="B136" s="9"/>
      <c r="C136" s="9"/>
      <c r="D136" s="12">
        <v>134</v>
      </c>
      <c r="E136" s="2"/>
      <c r="F136" s="20">
        <v>-13.25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x14ac:dyDescent="0.25">
      <c r="A137" s="9"/>
      <c r="B137" s="9"/>
      <c r="C137" s="9"/>
      <c r="D137" s="12">
        <v>135</v>
      </c>
      <c r="E137" s="2"/>
      <c r="F137" s="20">
        <v>-13.5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x14ac:dyDescent="0.25">
      <c r="A138" s="9"/>
      <c r="B138" s="9"/>
      <c r="C138" s="9"/>
      <c r="D138" s="12">
        <v>136</v>
      </c>
      <c r="E138" s="2"/>
      <c r="F138" s="20">
        <v>-13.75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x14ac:dyDescent="0.25">
      <c r="A139" s="9"/>
      <c r="B139" s="9"/>
      <c r="C139" s="9"/>
      <c r="D139" s="12">
        <v>137</v>
      </c>
      <c r="E139" s="2"/>
      <c r="F139" s="20">
        <v>-14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x14ac:dyDescent="0.25">
      <c r="A140" s="9"/>
      <c r="B140" s="9"/>
      <c r="C140" s="9"/>
      <c r="D140" s="12">
        <v>138</v>
      </c>
      <c r="E140" s="2"/>
      <c r="F140" s="20">
        <v>-14.25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x14ac:dyDescent="0.25">
      <c r="A141" s="9"/>
      <c r="B141" s="9"/>
      <c r="C141" s="9"/>
      <c r="D141" s="12">
        <v>139</v>
      </c>
      <c r="E141" s="2"/>
      <c r="F141" s="20">
        <v>-14.5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x14ac:dyDescent="0.25">
      <c r="A142" s="9"/>
      <c r="B142" s="9"/>
      <c r="C142" s="9"/>
      <c r="D142" s="12">
        <v>140</v>
      </c>
      <c r="E142" s="2"/>
      <c r="F142" s="20">
        <v>-14.75</v>
      </c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x14ac:dyDescent="0.25">
      <c r="A143" s="9"/>
      <c r="B143" s="9"/>
      <c r="C143" s="9"/>
      <c r="D143" s="12">
        <v>141</v>
      </c>
      <c r="E143" s="2"/>
      <c r="F143" s="20">
        <v>-15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x14ac:dyDescent="0.25">
      <c r="A144" s="9"/>
      <c r="B144" s="9"/>
      <c r="C144" s="9"/>
      <c r="D144" s="12">
        <v>142</v>
      </c>
      <c r="E144" s="2"/>
      <c r="F144" s="20">
        <v>-15.25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x14ac:dyDescent="0.25">
      <c r="A145" s="9"/>
      <c r="B145" s="9"/>
      <c r="C145" s="9"/>
      <c r="D145" s="12">
        <v>143</v>
      </c>
      <c r="E145" s="2"/>
      <c r="F145" s="20">
        <v>-15.5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x14ac:dyDescent="0.25">
      <c r="A146" s="9"/>
      <c r="B146" s="9"/>
      <c r="C146" s="9"/>
      <c r="D146" s="12">
        <v>144</v>
      </c>
      <c r="E146" s="2"/>
      <c r="F146" s="20">
        <v>-15.75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x14ac:dyDescent="0.25">
      <c r="A147" s="9"/>
      <c r="B147" s="9"/>
      <c r="C147" s="9"/>
      <c r="D147" s="12">
        <v>145</v>
      </c>
      <c r="E147" s="2"/>
      <c r="F147" s="20">
        <v>-16</v>
      </c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x14ac:dyDescent="0.25">
      <c r="A148" s="9"/>
      <c r="B148" s="9"/>
      <c r="C148" s="9"/>
      <c r="D148" s="12">
        <v>146</v>
      </c>
      <c r="E148" s="2"/>
      <c r="F148" s="20">
        <v>-16.25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x14ac:dyDescent="0.25">
      <c r="A149" s="9"/>
      <c r="B149" s="9"/>
      <c r="C149" s="9"/>
      <c r="D149" s="12">
        <v>147</v>
      </c>
      <c r="E149" s="2"/>
      <c r="F149" s="20">
        <v>-16.5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x14ac:dyDescent="0.25">
      <c r="A150" s="9"/>
      <c r="B150" s="9"/>
      <c r="C150" s="9"/>
      <c r="D150" s="12">
        <v>148</v>
      </c>
      <c r="E150" s="2"/>
      <c r="F150" s="20">
        <v>-16.75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x14ac:dyDescent="0.25">
      <c r="A151" s="9"/>
      <c r="B151" s="9"/>
      <c r="C151" s="9"/>
      <c r="D151" s="12">
        <v>149</v>
      </c>
      <c r="E151" s="2"/>
      <c r="F151" s="20">
        <v>-17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x14ac:dyDescent="0.25">
      <c r="A152" s="9"/>
      <c r="B152" s="9"/>
      <c r="C152" s="9"/>
      <c r="D152" s="12">
        <v>150</v>
      </c>
      <c r="E152" s="2"/>
      <c r="F152" s="20">
        <v>-17.25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x14ac:dyDescent="0.25">
      <c r="A153" s="9"/>
      <c r="B153" s="9"/>
      <c r="C153" s="9"/>
      <c r="D153" s="12">
        <v>151</v>
      </c>
      <c r="E153" s="2"/>
      <c r="F153" s="20">
        <v>-17.5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x14ac:dyDescent="0.25">
      <c r="A154" s="9"/>
      <c r="B154" s="9"/>
      <c r="C154" s="9"/>
      <c r="D154" s="12">
        <v>152</v>
      </c>
      <c r="E154" s="2"/>
      <c r="F154" s="20">
        <v>-17.75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x14ac:dyDescent="0.25">
      <c r="A155" s="9"/>
      <c r="B155" s="9"/>
      <c r="C155" s="9"/>
      <c r="D155" s="12">
        <v>153</v>
      </c>
      <c r="E155" s="2"/>
      <c r="F155" s="20">
        <v>-18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x14ac:dyDescent="0.25">
      <c r="A156" s="9"/>
      <c r="B156" s="9"/>
      <c r="C156" s="9"/>
      <c r="D156" s="12">
        <v>154</v>
      </c>
      <c r="E156" s="2"/>
      <c r="F156" s="20">
        <v>-18.25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x14ac:dyDescent="0.25">
      <c r="A157" s="9"/>
      <c r="B157" s="9"/>
      <c r="C157" s="9"/>
      <c r="D157" s="12">
        <v>155</v>
      </c>
      <c r="E157" s="2"/>
      <c r="F157" s="20">
        <v>-18.5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x14ac:dyDescent="0.25">
      <c r="A158" s="9"/>
      <c r="B158" s="9"/>
      <c r="C158" s="9"/>
      <c r="D158" s="12">
        <v>156</v>
      </c>
      <c r="E158" s="2"/>
      <c r="F158" s="20">
        <v>-18.75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x14ac:dyDescent="0.25">
      <c r="A159" s="9"/>
      <c r="B159" s="9"/>
      <c r="C159" s="9"/>
      <c r="D159" s="12">
        <v>157</v>
      </c>
      <c r="E159" s="2"/>
      <c r="F159" s="20">
        <v>-19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x14ac:dyDescent="0.25">
      <c r="A160" s="9"/>
      <c r="B160" s="9"/>
      <c r="C160" s="9"/>
      <c r="D160" s="12">
        <v>158</v>
      </c>
      <c r="E160" s="2"/>
      <c r="F160" s="20">
        <v>-19.25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x14ac:dyDescent="0.25">
      <c r="A161" s="9"/>
      <c r="B161" s="9"/>
      <c r="C161" s="9"/>
      <c r="D161" s="12">
        <v>159</v>
      </c>
      <c r="E161" s="2"/>
      <c r="F161" s="20">
        <v>-19.5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x14ac:dyDescent="0.25">
      <c r="A162" s="9"/>
      <c r="B162" s="9"/>
      <c r="C162" s="9"/>
      <c r="D162" s="12">
        <v>160</v>
      </c>
      <c r="E162" s="2"/>
      <c r="F162" s="20">
        <v>-19.75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x14ac:dyDescent="0.25">
      <c r="A163" s="9"/>
      <c r="B163" s="9"/>
      <c r="C163" s="9"/>
      <c r="D163" s="12">
        <v>161</v>
      </c>
      <c r="E163" s="2"/>
      <c r="F163" s="20">
        <v>-20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ht="15.75" thickBot="1" x14ac:dyDescent="0.3">
      <c r="A164" s="9"/>
      <c r="B164" s="9"/>
      <c r="C164" s="9"/>
      <c r="D164" s="12">
        <v>162</v>
      </c>
      <c r="E164" s="2"/>
      <c r="F164" s="11" t="s">
        <v>14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x14ac:dyDescent="0.25">
      <c r="A165" s="9"/>
      <c r="B165" s="9"/>
      <c r="C165" s="9"/>
      <c r="D165" s="12">
        <v>163</v>
      </c>
      <c r="E165" s="2"/>
      <c r="F165" s="2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x14ac:dyDescent="0.25">
      <c r="A166" s="9"/>
      <c r="B166" s="9"/>
      <c r="C166" s="9"/>
      <c r="D166" s="12">
        <v>164</v>
      </c>
      <c r="E166" s="2"/>
      <c r="F166" s="2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x14ac:dyDescent="0.25">
      <c r="A167" s="9"/>
      <c r="B167" s="9"/>
      <c r="C167" s="9"/>
      <c r="D167" s="12">
        <v>165</v>
      </c>
      <c r="E167" s="2"/>
      <c r="F167" s="2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x14ac:dyDescent="0.25">
      <c r="A168" s="9"/>
      <c r="B168" s="9"/>
      <c r="C168" s="9"/>
      <c r="D168" s="12">
        <v>166</v>
      </c>
      <c r="E168" s="2"/>
      <c r="F168" s="2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x14ac:dyDescent="0.25">
      <c r="A169" s="9"/>
      <c r="B169" s="9"/>
      <c r="C169" s="9"/>
      <c r="D169" s="12">
        <v>167</v>
      </c>
      <c r="E169" s="2"/>
      <c r="F169" s="2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x14ac:dyDescent="0.25">
      <c r="A170" s="9"/>
      <c r="B170" s="9"/>
      <c r="C170" s="9"/>
      <c r="D170" s="12">
        <v>168</v>
      </c>
      <c r="E170" s="2"/>
      <c r="F170" s="2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x14ac:dyDescent="0.25">
      <c r="A171" s="9"/>
      <c r="B171" s="9"/>
      <c r="C171" s="9"/>
      <c r="D171" s="12">
        <v>169</v>
      </c>
      <c r="E171" s="2"/>
      <c r="F171" s="2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x14ac:dyDescent="0.25">
      <c r="A172" s="9"/>
      <c r="B172" s="9"/>
      <c r="C172" s="9"/>
      <c r="D172" s="12">
        <v>170</v>
      </c>
      <c r="E172" s="2"/>
      <c r="F172" s="2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x14ac:dyDescent="0.25">
      <c r="A173" s="9"/>
      <c r="B173" s="9"/>
      <c r="C173" s="9"/>
      <c r="D173" s="12">
        <v>171</v>
      </c>
      <c r="E173" s="2"/>
      <c r="F173" s="2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x14ac:dyDescent="0.25">
      <c r="A174" s="9"/>
      <c r="B174" s="9"/>
      <c r="C174" s="9"/>
      <c r="D174" s="12">
        <v>172</v>
      </c>
      <c r="E174" s="2"/>
      <c r="F174" s="2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x14ac:dyDescent="0.25">
      <c r="A175" s="9"/>
      <c r="B175" s="9"/>
      <c r="C175" s="9"/>
      <c r="D175" s="12">
        <v>173</v>
      </c>
      <c r="E175" s="2"/>
      <c r="F175" s="2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x14ac:dyDescent="0.25">
      <c r="A176" s="9"/>
      <c r="B176" s="9"/>
      <c r="C176" s="9"/>
      <c r="D176" s="12">
        <v>174</v>
      </c>
      <c r="E176" s="2"/>
      <c r="F176" s="2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x14ac:dyDescent="0.25">
      <c r="A177" s="9"/>
      <c r="B177" s="9"/>
      <c r="C177" s="9"/>
      <c r="D177" s="12">
        <v>175</v>
      </c>
      <c r="E177" s="2"/>
      <c r="F177" s="2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x14ac:dyDescent="0.25">
      <c r="A178" s="9"/>
      <c r="B178" s="9"/>
      <c r="C178" s="9"/>
      <c r="D178" s="12">
        <v>176</v>
      </c>
      <c r="E178" s="2"/>
      <c r="F178" s="2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x14ac:dyDescent="0.25">
      <c r="A179" s="9"/>
      <c r="B179" s="9"/>
      <c r="C179" s="9"/>
      <c r="D179" s="12">
        <v>177</v>
      </c>
      <c r="E179" s="2"/>
      <c r="F179" s="2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x14ac:dyDescent="0.25">
      <c r="A180" s="9"/>
      <c r="B180" s="9"/>
      <c r="C180" s="9"/>
      <c r="D180" s="12">
        <v>178</v>
      </c>
      <c r="E180" s="2"/>
      <c r="F180" s="2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x14ac:dyDescent="0.25">
      <c r="A181" s="9"/>
      <c r="B181" s="9"/>
      <c r="C181" s="9"/>
      <c r="D181" s="12">
        <v>179</v>
      </c>
      <c r="E181" s="2"/>
      <c r="F181" s="2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ht="15.75" thickBot="1" x14ac:dyDescent="0.3">
      <c r="A182" s="9"/>
      <c r="B182" s="9"/>
      <c r="C182" s="9"/>
      <c r="D182" s="11">
        <v>180</v>
      </c>
      <c r="E182" s="2"/>
      <c r="F182" s="2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x14ac:dyDescent="0.25">
      <c r="E183" s="1"/>
      <c r="F183" s="1"/>
    </row>
  </sheetData>
  <sheetProtection algorithmName="SHA-512" hashValue="I/siU7bCrPV8/AqBzhiDhqc+YMoSLotH/8dPuzOmU8bToT+NrXObxy4ZlihCOVRmy0M4/wmuTNoHA+9ylSHpEw==" saltValue="V+w8CMDk7ORNnNXVnDNJFA==" spinCount="100000" sheet="1" selectLockedCells="1" selectUnlockedCells="1"/>
  <mergeCells count="4">
    <mergeCell ref="A1:C1"/>
    <mergeCell ref="D1:J1"/>
    <mergeCell ref="K1:R1"/>
    <mergeCell ref="S1:Z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MONOFOCALS</vt:lpstr>
      <vt:lpstr>MUNTATGE MONOFOCAL</vt:lpstr>
      <vt:lpstr>MULTIFOCALS</vt:lpstr>
      <vt:lpstr>MUNTATGE MULTIFOCAL</vt:lpstr>
      <vt:lpstr>CRITERIS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2023-04-01T15:15:41Z</dcterms:modified>
</cp:coreProperties>
</file>